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yn\Documents\Site Cours de Finance\"/>
    </mc:Choice>
  </mc:AlternateContent>
  <xr:revisionPtr revIDLastSave="0" documentId="8_{877C0681-2E38-4394-8ED5-C12549B102E0}" xr6:coauthVersionLast="45" xr6:coauthVersionMax="45" xr10:uidLastSave="{00000000-0000-0000-0000-000000000000}"/>
  <bookViews>
    <workbookView xWindow="-98" yWindow="-98" windowWidth="20715" windowHeight="13276" activeTab="5" xr2:uid="{00000000-000D-0000-FFFF-FFFF00000000}"/>
  </bookViews>
  <sheets>
    <sheet name="Intro equity value" sheetId="11" r:id="rId1"/>
    <sheet name="Merton" sheetId="14" r:id="rId2"/>
    <sheet name="Growth" sheetId="10" r:id="rId3"/>
    <sheet name="Patent" sheetId="7" r:id="rId4"/>
    <sheet name="Concession" sheetId="12" r:id="rId5"/>
    <sheet name="Feuil3" sheetId="3" r:id="rId6"/>
  </sheets>
  <definedNames>
    <definedName name="__FDS_HYPERLINK_TOGGLE_STATE__" hidden="1">"ON"</definedName>
    <definedName name="s" localSheetId="1">Merton!#REF!</definedName>
    <definedName name="s">#REF!</definedName>
    <definedName name="solver_adj" localSheetId="1" hidden="1">Merton!#REF!</definedName>
    <definedName name="solver_cvg" localSheetId="1" hidden="1">0.0001</definedName>
    <definedName name="solver_drv" localSheetId="1" hidden="1">1</definedName>
    <definedName name="solver_est" localSheetId="1" hidden="1">2</definedName>
    <definedName name="solver_itr" localSheetId="1" hidden="1">100</definedName>
    <definedName name="solver_lhs1" localSheetId="1" hidden="1">Merton!#REF!</definedName>
    <definedName name="solver_lhs2" localSheetId="1" hidden="1">Merton!#REF!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2</definedName>
    <definedName name="solver_opt" localSheetId="1" hidden="1">Merton!#REF!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0.8</definedName>
    <definedName name="solver_rhs2" localSheetId="1" hidden="1">0.8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3</definedName>
    <definedName name="V" localSheetId="1">Merton!#REF!</definedName>
    <definedName name="V">#REF!</definedName>
    <definedName name="x" localSheetId="1">Merton!#REF!</definedName>
    <definedName name="x">#REF!</definedName>
    <definedName name="y" localSheetId="1">Merton!#REF!</definedName>
    <definedName name="y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4" l="1"/>
  <c r="F6" i="14"/>
  <c r="F7" i="14" s="1"/>
  <c r="F9" i="14" s="1"/>
  <c r="F8" i="14"/>
  <c r="F19" i="14" s="1"/>
  <c r="G4" i="14"/>
  <c r="H4" i="14" s="1"/>
  <c r="G3" i="14"/>
  <c r="H3" i="14"/>
  <c r="G2" i="14"/>
  <c r="H6" i="14"/>
  <c r="H20" i="14"/>
  <c r="H21" i="14"/>
  <c r="G6" i="14"/>
  <c r="G7" i="14" s="1"/>
  <c r="G9" i="14" s="1"/>
  <c r="G20" i="14"/>
  <c r="G21" i="14" s="1"/>
  <c r="F20" i="14"/>
  <c r="F21" i="14"/>
  <c r="C4" i="11"/>
  <c r="C7" i="11" s="1"/>
  <c r="B4" i="11"/>
  <c r="C5" i="12"/>
  <c r="F17" i="12"/>
  <c r="F6" i="12"/>
  <c r="F3" i="12"/>
  <c r="F16" i="12" s="1"/>
  <c r="F18" i="12" s="1"/>
  <c r="G1" i="12"/>
  <c r="H1" i="12" s="1"/>
  <c r="I1" i="12" s="1"/>
  <c r="J1" i="12" s="1"/>
  <c r="K1" i="12" s="1"/>
  <c r="L1" i="12" s="1"/>
  <c r="M1" i="12" s="1"/>
  <c r="N1" i="12" s="1"/>
  <c r="O1" i="12" s="1"/>
  <c r="H17" i="12"/>
  <c r="I17" i="12" s="1"/>
  <c r="J17" i="12" s="1"/>
  <c r="K17" i="12" s="1"/>
  <c r="L17" i="12" s="1"/>
  <c r="M17" i="12" s="1"/>
  <c r="N17" i="12" s="1"/>
  <c r="O17" i="12" s="1"/>
  <c r="B8" i="12"/>
  <c r="B5" i="12"/>
  <c r="G4" i="12"/>
  <c r="H4" i="12" s="1"/>
  <c r="I4" i="12" s="1"/>
  <c r="J4" i="12" s="1"/>
  <c r="K4" i="12" s="1"/>
  <c r="L4" i="12" s="1"/>
  <c r="M4" i="12" s="1"/>
  <c r="N4" i="12" s="1"/>
  <c r="O4" i="12" s="1"/>
  <c r="G9" i="12"/>
  <c r="H9" i="12" s="1"/>
  <c r="I9" i="12" s="1"/>
  <c r="J9" i="12" s="1"/>
  <c r="K9" i="12" s="1"/>
  <c r="L9" i="12" s="1"/>
  <c r="M9" i="12" s="1"/>
  <c r="N9" i="12" s="1"/>
  <c r="O9" i="12" s="1"/>
  <c r="C8" i="12"/>
  <c r="G7" i="12"/>
  <c r="G8" i="12"/>
  <c r="G6" i="12"/>
  <c r="H6" i="12" s="1"/>
  <c r="I6" i="12" s="1"/>
  <c r="J6" i="12" s="1"/>
  <c r="K6" i="12" s="1"/>
  <c r="L6" i="12" s="1"/>
  <c r="M6" i="12" s="1"/>
  <c r="N6" i="12" s="1"/>
  <c r="O6" i="12" s="1"/>
  <c r="G3" i="12"/>
  <c r="H7" i="12"/>
  <c r="H8" i="12" s="1"/>
  <c r="H10" i="12"/>
  <c r="I10" i="12" s="1"/>
  <c r="J10" i="12" s="1"/>
  <c r="K10" i="12" s="1"/>
  <c r="L10" i="12" s="1"/>
  <c r="M10" i="12" s="1"/>
  <c r="N10" i="12" s="1"/>
  <c r="O10" i="12" s="1"/>
  <c r="C8" i="7"/>
  <c r="D8" i="7" s="1"/>
  <c r="C5" i="7"/>
  <c r="D5" i="7" s="1"/>
  <c r="D6" i="7" s="1"/>
  <c r="C4" i="7"/>
  <c r="D2" i="7"/>
  <c r="D3" i="7" s="1"/>
  <c r="C2" i="7"/>
  <c r="C3" i="7" s="1"/>
  <c r="B2" i="7"/>
  <c r="B3" i="7"/>
  <c r="B6" i="7"/>
  <c r="B4" i="10"/>
  <c r="B7" i="10" s="1"/>
  <c r="B9" i="10" s="1"/>
  <c r="B7" i="11"/>
  <c r="B8" i="11" s="1"/>
  <c r="B10" i="11" s="1"/>
  <c r="B11" i="11" s="1"/>
  <c r="B12" i="12" l="1"/>
  <c r="B8" i="10"/>
  <c r="B10" i="10" s="1"/>
  <c r="B11" i="10" s="1"/>
  <c r="I7" i="12"/>
  <c r="C6" i="7"/>
  <c r="C9" i="7" s="1"/>
  <c r="G8" i="14"/>
  <c r="B9" i="7"/>
  <c r="B11" i="7" s="1"/>
  <c r="B13" i="7" s="1"/>
  <c r="B15" i="7" s="1"/>
  <c r="B16" i="7" s="1"/>
  <c r="C11" i="7"/>
  <c r="C13" i="7" s="1"/>
  <c r="C10" i="7"/>
  <c r="C12" i="7" s="1"/>
  <c r="C14" i="7" s="1"/>
  <c r="B10" i="7"/>
  <c r="B12" i="7" s="1"/>
  <c r="B14" i="7" s="1"/>
  <c r="C9" i="11"/>
  <c r="C8" i="11"/>
  <c r="C10" i="11" s="1"/>
  <c r="C11" i="11" s="1"/>
  <c r="F22" i="14"/>
  <c r="F23" i="14" s="1"/>
  <c r="F11" i="14"/>
  <c r="G11" i="14"/>
  <c r="H7" i="14"/>
  <c r="H9" i="14" s="1"/>
  <c r="H8" i="14"/>
  <c r="B13" i="12"/>
  <c r="B15" i="12" s="1"/>
  <c r="B14" i="12"/>
  <c r="B16" i="12" s="1"/>
  <c r="B18" i="12" s="1"/>
  <c r="F14" i="14"/>
  <c r="F15" i="14" s="1"/>
  <c r="F16" i="14" s="1"/>
  <c r="B9" i="11"/>
  <c r="B12" i="11" s="1"/>
  <c r="B13" i="11" s="1"/>
  <c r="D4" i="7"/>
  <c r="H3" i="12"/>
  <c r="G5" i="12"/>
  <c r="G13" i="14"/>
  <c r="H2" i="14"/>
  <c r="H13" i="14" s="1"/>
  <c r="C12" i="12"/>
  <c r="F10" i="14"/>
  <c r="F12" i="14" s="1"/>
  <c r="C12" i="11" l="1"/>
  <c r="C13" i="11" s="1"/>
  <c r="B17" i="7"/>
  <c r="G14" i="14"/>
  <c r="G15" i="14" s="1"/>
  <c r="G19" i="14"/>
  <c r="G22" i="14" s="1"/>
  <c r="G23" i="14" s="1"/>
  <c r="G10" i="14"/>
  <c r="G12" i="14" s="1"/>
  <c r="J7" i="12"/>
  <c r="I8" i="12"/>
  <c r="C13" i="12"/>
  <c r="C15" i="12" s="1"/>
  <c r="C14" i="12"/>
  <c r="G12" i="12"/>
  <c r="C15" i="7"/>
  <c r="C16" i="7" s="1"/>
  <c r="C17" i="7"/>
  <c r="I3" i="12"/>
  <c r="H5" i="12"/>
  <c r="H19" i="14"/>
  <c r="H22" i="14" s="1"/>
  <c r="H23" i="14" s="1"/>
  <c r="H14" i="14"/>
  <c r="H15" i="14" s="1"/>
  <c r="H16" i="14" s="1"/>
  <c r="H17" i="14" s="1"/>
  <c r="H18" i="14" s="1"/>
  <c r="H10" i="14"/>
  <c r="H12" i="14" s="1"/>
  <c r="G16" i="14"/>
  <c r="G17" i="14" s="1"/>
  <c r="G18" i="14" s="1"/>
  <c r="D9" i="7"/>
  <c r="F17" i="14"/>
  <c r="F18" i="14" s="1"/>
  <c r="H11" i="14"/>
  <c r="J8" i="12" l="1"/>
  <c r="K7" i="12"/>
  <c r="D11" i="7"/>
  <c r="D10" i="7"/>
  <c r="D12" i="7" s="1"/>
  <c r="D14" i="7" s="1"/>
  <c r="J3" i="12"/>
  <c r="I5" i="12"/>
  <c r="G13" i="12"/>
  <c r="G15" i="12" s="1"/>
  <c r="G14" i="12"/>
  <c r="G16" i="12" s="1"/>
  <c r="G18" i="12" s="1"/>
  <c r="H12" i="12"/>
  <c r="C16" i="12"/>
  <c r="C18" i="12" s="1"/>
  <c r="C19" i="12" s="1"/>
  <c r="K8" i="12" l="1"/>
  <c r="L7" i="12"/>
  <c r="J5" i="12"/>
  <c r="K3" i="12"/>
  <c r="I12" i="12"/>
  <c r="H13" i="12"/>
  <c r="H15" i="12" s="1"/>
  <c r="H14" i="12"/>
  <c r="D17" i="7"/>
  <c r="D13" i="7"/>
  <c r="D15" i="7" s="1"/>
  <c r="D16" i="7" s="1"/>
  <c r="M7" i="12" l="1"/>
  <c r="L8" i="12"/>
  <c r="I14" i="12"/>
  <c r="I13" i="12"/>
  <c r="I15" i="12" s="1"/>
  <c r="K5" i="12"/>
  <c r="L3" i="12"/>
  <c r="H16" i="12"/>
  <c r="H18" i="12" s="1"/>
  <c r="J12" i="12"/>
  <c r="I16" i="12" l="1"/>
  <c r="I18" i="12" s="1"/>
  <c r="N7" i="12"/>
  <c r="M8" i="12"/>
  <c r="L5" i="12"/>
  <c r="M3" i="12"/>
  <c r="K12" i="12"/>
  <c r="J13" i="12"/>
  <c r="J15" i="12" s="1"/>
  <c r="J14" i="12"/>
  <c r="J16" i="12" s="1"/>
  <c r="J18" i="12" s="1"/>
  <c r="O7" i="12" l="1"/>
  <c r="O8" i="12" s="1"/>
  <c r="N8" i="12"/>
  <c r="K14" i="12"/>
  <c r="K13" i="12"/>
  <c r="K15" i="12" s="1"/>
  <c r="M5" i="12"/>
  <c r="N3" i="12"/>
  <c r="L12" i="12"/>
  <c r="O3" i="12" l="1"/>
  <c r="O5" i="12" s="1"/>
  <c r="N5" i="12"/>
  <c r="M12" i="12"/>
  <c r="L14" i="12"/>
  <c r="L13" i="12"/>
  <c r="L15" i="12" s="1"/>
  <c r="K16" i="12"/>
  <c r="K18" i="12" s="1"/>
  <c r="M13" i="12" l="1"/>
  <c r="M15" i="12" s="1"/>
  <c r="M14" i="12"/>
  <c r="N12" i="12"/>
  <c r="L16" i="12"/>
  <c r="L18" i="12" s="1"/>
  <c r="O12" i="12"/>
  <c r="M16" i="12" l="1"/>
  <c r="M18" i="12" s="1"/>
  <c r="N14" i="12"/>
  <c r="N13" i="12"/>
  <c r="N15" i="12" s="1"/>
  <c r="O14" i="12"/>
  <c r="O16" i="12" s="1"/>
  <c r="O18" i="12" s="1"/>
  <c r="O13" i="12"/>
  <c r="O15" i="12" s="1"/>
  <c r="N16" i="12" l="1"/>
  <c r="N18" i="12" s="1"/>
  <c r="G19" i="12" s="1"/>
</calcChain>
</file>

<file path=xl/sharedStrings.xml><?xml version="1.0" encoding="utf-8"?>
<sst xmlns="http://schemas.openxmlformats.org/spreadsheetml/2006/main" count="81" uniqueCount="60">
  <si>
    <t>t</t>
  </si>
  <si>
    <t>s</t>
  </si>
  <si>
    <t>d1</t>
  </si>
  <si>
    <t>d2</t>
  </si>
  <si>
    <t>E = D</t>
  </si>
  <si>
    <t>Probability of bankruptcy</t>
  </si>
  <si>
    <t>r discrete</t>
  </si>
  <si>
    <t>r continuous</t>
  </si>
  <si>
    <t>C = Equity by B&amp;S</t>
  </si>
  <si>
    <t>Equity value</t>
  </si>
  <si>
    <t>S = EV</t>
  </si>
  <si>
    <t>EV</t>
  </si>
  <si>
    <t>C by B&amp;S</t>
  </si>
  <si>
    <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</t>
    </r>
  </si>
  <si>
    <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</si>
  <si>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</t>
    </r>
  </si>
  <si>
    <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</si>
  <si>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E</t>
  </si>
  <si>
    <t>S</t>
  </si>
  <si>
    <t>C = Value of the patent</t>
  </si>
  <si>
    <r>
      <t>E = I</t>
    </r>
    <r>
      <rPr>
        <vertAlign val="subscript"/>
        <sz val="11"/>
        <color indexed="8"/>
        <rFont val="Times New Roman"/>
        <family val="1"/>
      </rPr>
      <t>0</t>
    </r>
  </si>
  <si>
    <r>
      <t>Expected future value of EV = EV.e</t>
    </r>
    <r>
      <rPr>
        <vertAlign val="superscript"/>
        <sz val="11"/>
        <color indexed="8"/>
        <rFont val="Times New Roman"/>
        <family val="1"/>
      </rPr>
      <t>rt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</t>
    </r>
  </si>
  <si>
    <r>
      <t>Expected cash outfow = I</t>
    </r>
    <r>
      <rPr>
        <vertAlign val="sub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</si>
  <si>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EV.e</t>
    </r>
    <r>
      <rPr>
        <vertAlign val="superscript"/>
        <sz val="11"/>
        <color indexed="8"/>
        <rFont val="Times New Roman"/>
        <family val="1"/>
      </rPr>
      <t>rt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)-I</t>
    </r>
    <r>
      <rPr>
        <vertAlign val="sub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(d2)</t>
    </r>
  </si>
  <si>
    <r>
      <t>e</t>
    </r>
    <r>
      <rPr>
        <vertAlign val="superscript"/>
        <sz val="11"/>
        <color indexed="8"/>
        <rFont val="Times New Roman"/>
        <family val="1"/>
      </rPr>
      <t>-rt</t>
    </r>
    <r>
      <rPr>
        <sz val="11"/>
        <color indexed="8"/>
        <rFont val="Times New Roman"/>
        <family val="1"/>
      </rPr>
      <t>.[EV.e</t>
    </r>
    <r>
      <rPr>
        <vertAlign val="superscript"/>
        <sz val="11"/>
        <color indexed="8"/>
        <rFont val="Times New Roman"/>
        <family val="1"/>
      </rPr>
      <t>rt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)-I</t>
    </r>
    <r>
      <rPr>
        <vertAlign val="sub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(d2)]</t>
    </r>
  </si>
  <si>
    <t>Option ref</t>
  </si>
  <si>
    <t>Convenience yield q</t>
  </si>
  <si>
    <t>C per barrel in $</t>
  </si>
  <si>
    <t>Output capacity</t>
  </si>
  <si>
    <t>Value of the concession (M$)</t>
  </si>
  <si>
    <r>
      <t>S</t>
    </r>
    <r>
      <rPr>
        <vertAlign val="subscript"/>
        <sz val="11"/>
        <color indexed="8"/>
        <rFont val="Times New Roman"/>
        <family val="1"/>
      </rPr>
      <t>0</t>
    </r>
  </si>
  <si>
    <r>
      <t>S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.e</t>
    </r>
    <r>
      <rPr>
        <vertAlign val="superscript"/>
        <sz val="10"/>
        <rFont val="Times New Roman"/>
        <family val="1"/>
      </rPr>
      <t>-qt</t>
    </r>
  </si>
  <si>
    <r>
      <t>d</t>
    </r>
    <r>
      <rPr>
        <vertAlign val="subscript"/>
        <sz val="11"/>
        <color indexed="8"/>
        <rFont val="Times New Roman"/>
        <family val="1"/>
      </rPr>
      <t>1</t>
    </r>
  </si>
  <si>
    <r>
      <t>d</t>
    </r>
    <r>
      <rPr>
        <vertAlign val="subscript"/>
        <sz val="11"/>
        <color indexed="8"/>
        <rFont val="Times New Roman"/>
        <family val="1"/>
      </rPr>
      <t>2</t>
    </r>
  </si>
  <si>
    <r>
      <t>F</t>
    </r>
    <r>
      <rPr>
        <sz val="10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1</t>
    </r>
    <r>
      <rPr>
        <sz val="10"/>
        <rFont val="Times New Roman"/>
        <family val="1"/>
      </rPr>
      <t>)</t>
    </r>
  </si>
  <si>
    <r>
      <t>F</t>
    </r>
    <r>
      <rPr>
        <sz val="10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</si>
  <si>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C in M$ </t>
  </si>
  <si>
    <t>Debt economic value</t>
  </si>
  <si>
    <r>
      <t>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Calibri"/>
        <family val="2"/>
      </rPr>
      <t/>
    </r>
  </si>
  <si>
    <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Symbol"/>
        <family val="1"/>
        <charset val="2"/>
      </rPr>
      <t/>
    </r>
  </si>
  <si>
    <t xml:space="preserve">S = EV </t>
  </si>
  <si>
    <t>Debt (face value)</t>
  </si>
  <si>
    <t>Probability of default</t>
  </si>
  <si>
    <t>d=D.exp(-rt)/V</t>
  </si>
  <si>
    <t>1/d</t>
  </si>
  <si>
    <t>Spread</t>
  </si>
  <si>
    <t>Cost of debt all in</t>
  </si>
  <si>
    <r>
      <t>t</t>
    </r>
    <r>
      <rPr>
        <sz val="11"/>
        <color indexed="8"/>
        <rFont val="Times New Roman"/>
        <family val="1"/>
      </rPr>
      <t xml:space="preserve"> (time to expiration)</t>
    </r>
  </si>
  <si>
    <r>
      <t>s</t>
    </r>
    <r>
      <rPr>
        <sz val="11"/>
        <color indexed="8"/>
        <rFont val="Times New Roman"/>
        <family val="1"/>
      </rPr>
      <t>(A)</t>
    </r>
  </si>
  <si>
    <r>
      <t>F</t>
    </r>
    <r>
      <rPr>
        <sz val="11"/>
        <color indexed="8"/>
        <rFont val="Times New Roman"/>
        <family val="1"/>
      </rPr>
      <t>(-d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</t>
    </r>
  </si>
  <si>
    <r>
      <t>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Calibri"/>
        <family val="2"/>
      </rPr>
      <t/>
    </r>
  </si>
  <si>
    <t>Economic value of debt = EV - Equity value</t>
  </si>
  <si>
    <t>Economic value of unrisky debt = PV of debt's face value (using r)</t>
  </si>
  <si>
    <r>
      <t>Recovery given default  = [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(-d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)/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(-d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)].EV</t>
    </r>
  </si>
  <si>
    <r>
      <t xml:space="preserve">Recovery rate given default </t>
    </r>
    <r>
      <rPr>
        <sz val="11"/>
        <color indexed="8"/>
        <rFont val="Times New Roman"/>
        <family val="1"/>
      </rPr>
      <t xml:space="preserve">= 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(-d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)/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(-d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</si>
  <si>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 xml:space="preserve">LGD </t>
    </r>
    <r>
      <rPr>
        <sz val="11"/>
        <color indexed="8"/>
        <rFont val="Times New Roman"/>
        <family val="1"/>
      </rPr>
      <t>= Economic value of unrisky debt -  Recovery given default</t>
    </r>
  </si>
  <si>
    <r>
      <t xml:space="preserve">Expected LGD = </t>
    </r>
    <r>
      <rPr>
        <sz val="11"/>
        <color indexed="8"/>
        <rFont val="Symbol"/>
        <family val="1"/>
        <charset val="2"/>
      </rPr>
      <t>F</t>
    </r>
    <r>
      <rPr>
        <sz val="11"/>
        <color indexed="8"/>
        <rFont val="Times New Roman"/>
        <family val="1"/>
      </rPr>
      <t>(-d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).LGD</t>
    </r>
  </si>
  <si>
    <t>Check: economic value of unrisky debt -  expected LGD</t>
  </si>
  <si>
    <r>
      <t>Annual cost of delay = 1/</t>
    </r>
    <r>
      <rPr>
        <sz val="11"/>
        <color indexed="8"/>
        <rFont val="Symbol"/>
        <family val="1"/>
        <charset val="2"/>
      </rPr>
      <t>t</t>
    </r>
    <r>
      <rPr>
        <sz val="11"/>
        <color indexed="8"/>
        <rFont val="Times New Roman"/>
        <family val="1"/>
      </rPr>
      <t xml:space="preserve"> = q</t>
    </r>
  </si>
  <si>
    <r>
      <t>S' = EV.exp</t>
    </r>
    <r>
      <rPr>
        <vertAlign val="superscript"/>
        <sz val="11"/>
        <color indexed="8"/>
        <rFont val="Times New Roman"/>
        <family val="1"/>
      </rPr>
      <t>-1/</t>
    </r>
    <r>
      <rPr>
        <vertAlign val="superscript"/>
        <sz val="11"/>
        <color indexed="8"/>
        <rFont val="Symbol"/>
        <family val="1"/>
        <charset val="2"/>
      </rPr>
      <t>t</t>
    </r>
    <r>
      <rPr>
        <vertAlign val="superscript"/>
        <sz val="11"/>
        <color indexed="8"/>
        <rFont val="Times New Roman"/>
        <family val="1"/>
      </rPr>
      <t>.</t>
    </r>
    <r>
      <rPr>
        <vertAlign val="superscript"/>
        <sz val="11"/>
        <color indexed="8"/>
        <rFont val="Symbol"/>
        <family val="1"/>
        <charset val="2"/>
      </rPr>
      <t>t</t>
    </r>
    <r>
      <rPr>
        <sz val="11"/>
        <color indexed="8"/>
        <rFont val="Times New Roman"/>
        <family val="1"/>
      </rPr>
      <t xml:space="preserve"> = EV.e</t>
    </r>
    <r>
      <rPr>
        <vertAlign val="superscript"/>
        <sz val="11"/>
        <color indexed="8"/>
        <rFont val="Times New Roman"/>
        <family val="1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</si>
</sst>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%"/>
    <numFmt numFmtId="166" formatCode="0.0000%"/>
    <numFmt numFmtId="168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ymbol"/>
      <family val="1"/>
      <charset val="2"/>
    </font>
    <font>
      <sz val="8"/>
      <name val="Calibri"/>
      <family val="2"/>
    </font>
    <font>
      <sz val="11"/>
      <color indexed="12"/>
      <name val="Calibri"/>
      <family val="2"/>
    </font>
    <font>
      <vertAlign val="superscript"/>
      <sz val="11"/>
      <color indexed="8"/>
      <name val="Symbol"/>
      <family val="1"/>
      <charset val="2"/>
    </font>
    <font>
      <sz val="11"/>
      <color indexed="48"/>
      <name val="Calibri"/>
      <family val="2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6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30"/>
      <name val="Times New Roman"/>
      <family val="1"/>
    </font>
    <font>
      <sz val="10"/>
      <name val="Symbol"/>
      <family val="1"/>
      <charset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33" fillId="18" borderId="4" applyNumberFormat="0" applyFont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0" fontId="24" fillId="19" borderId="0" applyNumberFormat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16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9" fillId="17" borderId="3" applyNumberFormat="0" applyAlignment="0" applyProtection="0"/>
  </cellStyleXfs>
  <cellXfs count="86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0" fontId="3" fillId="0" borderId="0" xfId="27" applyNumberFormat="1" applyFont="1"/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10" fillId="0" borderId="0" xfId="0" applyNumberFormat="1" applyFont="1" applyAlignment="1">
      <alignment horizontal="centerContinuous"/>
    </xf>
    <xf numFmtId="166" fontId="3" fillId="0" borderId="0" xfId="27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10" fontId="11" fillId="0" borderId="0" xfId="27" applyNumberFormat="1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0" fontId="13" fillId="0" borderId="0" xfId="27" applyNumberFormat="1" applyFont="1"/>
    <xf numFmtId="164" fontId="11" fillId="0" borderId="0" xfId="0" applyNumberFormat="1" applyFont="1" applyAlignment="1">
      <alignment horizontal="center"/>
    </xf>
    <xf numFmtId="1" fontId="12" fillId="0" borderId="0" xfId="0" applyNumberFormat="1" applyFont="1"/>
    <xf numFmtId="0" fontId="11" fillId="0" borderId="0" xfId="0" applyFont="1" applyAlignment="1">
      <alignment horizontal="center"/>
    </xf>
    <xf numFmtId="9" fontId="12" fillId="0" borderId="0" xfId="0" applyNumberFormat="1" applyFont="1"/>
    <xf numFmtId="9" fontId="14" fillId="0" borderId="0" xfId="0" applyNumberFormat="1" applyFont="1" applyAlignment="1">
      <alignment horizontal="center"/>
    </xf>
    <xf numFmtId="166" fontId="11" fillId="0" borderId="0" xfId="27" applyNumberFormat="1" applyFont="1" applyAlignment="1">
      <alignment horizontal="center"/>
    </xf>
    <xf numFmtId="2" fontId="11" fillId="0" borderId="0" xfId="0" applyNumberFormat="1" applyFont="1"/>
    <xf numFmtId="10" fontId="11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7" fillId="0" borderId="0" xfId="0" applyFont="1"/>
    <xf numFmtId="3" fontId="12" fillId="0" borderId="0" xfId="0" applyNumberFormat="1" applyFont="1" applyFill="1"/>
    <xf numFmtId="3" fontId="17" fillId="0" borderId="0" xfId="0" applyNumberFormat="1" applyFont="1" applyFill="1"/>
    <xf numFmtId="10" fontId="12" fillId="0" borderId="0" xfId="27" applyNumberFormat="1" applyFont="1"/>
    <xf numFmtId="9" fontId="11" fillId="0" borderId="0" xfId="27" applyFont="1"/>
    <xf numFmtId="3" fontId="13" fillId="20" borderId="0" xfId="0" applyNumberFormat="1" applyFont="1" applyFill="1"/>
    <xf numFmtId="9" fontId="12" fillId="0" borderId="0" xfId="27" applyFont="1"/>
    <xf numFmtId="3" fontId="13" fillId="0" borderId="0" xfId="0" applyNumberFormat="1" applyFont="1"/>
    <xf numFmtId="0" fontId="13" fillId="0" borderId="0" xfId="0" applyFont="1"/>
    <xf numFmtId="1" fontId="13" fillId="0" borderId="0" xfId="0" applyNumberFormat="1" applyFont="1"/>
    <xf numFmtId="9" fontId="13" fillId="0" borderId="0" xfId="27" applyFont="1"/>
    <xf numFmtId="0" fontId="35" fillId="0" borderId="0" xfId="26" applyFont="1" applyAlignment="1">
      <alignment horizontal="left"/>
    </xf>
    <xf numFmtId="0" fontId="36" fillId="0" borderId="0" xfId="26" applyFont="1"/>
    <xf numFmtId="0" fontId="35" fillId="0" borderId="0" xfId="26" applyFont="1"/>
    <xf numFmtId="10" fontId="36" fillId="0" borderId="0" xfId="26" applyNumberFormat="1" applyFont="1"/>
    <xf numFmtId="10" fontId="35" fillId="0" borderId="0" xfId="26" applyNumberFormat="1" applyFont="1"/>
    <xf numFmtId="0" fontId="13" fillId="0" borderId="0" xfId="26" applyFont="1"/>
    <xf numFmtId="10" fontId="39" fillId="0" borderId="0" xfId="26" applyNumberFormat="1" applyFont="1"/>
    <xf numFmtId="10" fontId="35" fillId="0" borderId="0" xfId="27" applyNumberFormat="1" applyFont="1"/>
    <xf numFmtId="10" fontId="40" fillId="0" borderId="0" xfId="26" applyNumberFormat="1" applyFont="1"/>
    <xf numFmtId="165" fontId="39" fillId="0" borderId="0" xfId="26" applyNumberFormat="1" applyFont="1"/>
    <xf numFmtId="165" fontId="36" fillId="0" borderId="0" xfId="26" applyNumberFormat="1" applyFont="1"/>
    <xf numFmtId="9" fontId="35" fillId="0" borderId="0" xfId="26" applyNumberFormat="1" applyFont="1"/>
    <xf numFmtId="1" fontId="39" fillId="0" borderId="0" xfId="26" applyNumberFormat="1" applyFont="1"/>
    <xf numFmtId="0" fontId="41" fillId="0" borderId="0" xfId="26" applyFont="1"/>
    <xf numFmtId="0" fontId="40" fillId="0" borderId="0" xfId="26" applyFont="1"/>
    <xf numFmtId="2" fontId="40" fillId="0" borderId="0" xfId="26" applyNumberFormat="1" applyFont="1"/>
    <xf numFmtId="2" fontId="35" fillId="0" borderId="0" xfId="26" applyNumberFormat="1" applyFont="1"/>
    <xf numFmtId="1" fontId="35" fillId="0" borderId="0" xfId="26" applyNumberFormat="1" applyFont="1"/>
    <xf numFmtId="168" fontId="35" fillId="0" borderId="0" xfId="26" applyNumberFormat="1" applyFont="1"/>
    <xf numFmtId="0" fontId="17" fillId="0" borderId="0" xfId="26" applyFont="1" applyAlignment="1">
      <alignment horizontal="left"/>
    </xf>
    <xf numFmtId="0" fontId="17" fillId="0" borderId="0" xfId="26" applyFont="1"/>
    <xf numFmtId="1" fontId="17" fillId="0" borderId="0" xfId="26" applyNumberFormat="1" applyFont="1"/>
    <xf numFmtId="0" fontId="42" fillId="0" borderId="0" xfId="26" applyFont="1" applyAlignment="1">
      <alignment horizontal="left"/>
    </xf>
    <xf numFmtId="10" fontId="11" fillId="0" borderId="0" xfId="27" applyNumberFormat="1" applyFont="1" applyAlignment="1">
      <alignment horizontal="center"/>
    </xf>
    <xf numFmtId="2" fontId="12" fillId="0" borderId="0" xfId="0" applyNumberFormat="1" applyFont="1"/>
    <xf numFmtId="2" fontId="11" fillId="0" borderId="0" xfId="0" applyNumberFormat="1" applyFont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3" fontId="17" fillId="0" borderId="0" xfId="0" applyNumberFormat="1" applyFont="1"/>
    <xf numFmtId="1" fontId="12" fillId="0" borderId="9" xfId="0" applyNumberFormat="1" applyFont="1" applyBorder="1"/>
    <xf numFmtId="0" fontId="12" fillId="0" borderId="9" xfId="0" applyFont="1" applyBorder="1"/>
    <xf numFmtId="0" fontId="6" fillId="0" borderId="0" xfId="0" applyFont="1" applyFill="1"/>
    <xf numFmtId="0" fontId="12" fillId="0" borderId="0" xfId="0" applyFont="1" applyFill="1"/>
    <xf numFmtId="9" fontId="12" fillId="0" borderId="0" xfId="0" applyNumberFormat="1" applyFont="1" applyFill="1"/>
    <xf numFmtId="9" fontId="12" fillId="0" borderId="0" xfId="27" applyNumberFormat="1" applyFont="1" applyFill="1"/>
    <xf numFmtId="2" fontId="11" fillId="0" borderId="0" xfId="0" applyNumberFormat="1" applyFont="1" applyFill="1"/>
    <xf numFmtId="165" fontId="11" fillId="0" borderId="0" xfId="27" applyNumberFormat="1" applyFont="1" applyFill="1"/>
    <xf numFmtId="2" fontId="11" fillId="20" borderId="0" xfId="0" applyNumberFormat="1" applyFont="1" applyFill="1"/>
    <xf numFmtId="0" fontId="17" fillId="0" borderId="0" xfId="0" applyFont="1" applyFill="1"/>
    <xf numFmtId="165" fontId="17" fillId="0" borderId="0" xfId="27" applyNumberFormat="1" applyFont="1"/>
    <xf numFmtId="165" fontId="11" fillId="0" borderId="0" xfId="0" applyNumberFormat="1" applyFont="1"/>
    <xf numFmtId="2" fontId="17" fillId="0" borderId="0" xfId="0" applyNumberFormat="1" applyFont="1" applyFill="1"/>
    <xf numFmtId="9" fontId="17" fillId="0" borderId="0" xfId="27" applyFont="1" applyFill="1"/>
    <xf numFmtId="0" fontId="13" fillId="0" borderId="0" xfId="0" applyFont="1" applyFill="1"/>
    <xf numFmtId="9" fontId="13" fillId="0" borderId="0" xfId="0" applyNumberFormat="1" applyFont="1" applyFill="1"/>
    <xf numFmtId="1" fontId="12" fillId="0" borderId="9" xfId="0" applyNumberFormat="1" applyFont="1" applyFill="1" applyBorder="1"/>
    <xf numFmtId="0" fontId="6" fillId="0" borderId="0" xfId="26" applyFont="1" applyAlignment="1">
      <alignment horizontal="left"/>
    </xf>
  </cellXfs>
  <cellStyles count="37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vertissement" xfId="19" xr:uid="{00000000-0005-0000-0000-000012000000}"/>
    <cellStyle name="Calcul" xfId="20" xr:uid="{00000000-0005-0000-0000-000013000000}"/>
    <cellStyle name="Cellule liée" xfId="21" xr:uid="{00000000-0005-0000-0000-000014000000}"/>
    <cellStyle name="Commentaire" xfId="22" xr:uid="{00000000-0005-0000-0000-000015000000}"/>
    <cellStyle name="Entrée" xfId="23" xr:uid="{00000000-0005-0000-0000-000016000000}"/>
    <cellStyle name="Insatisfaisant" xfId="24" xr:uid="{00000000-0005-0000-0000-000017000000}"/>
    <cellStyle name="Neutre" xfId="25" xr:uid="{00000000-0005-0000-0000-000018000000}"/>
    <cellStyle name="Normal" xfId="0" builtinId="0"/>
    <cellStyle name="Normal_Concessions" xfId="26" xr:uid="{00000000-0005-0000-0000-00001A000000}"/>
    <cellStyle name="Pourcentage" xfId="27" builtinId="5"/>
    <cellStyle name="Satisfaisant" xfId="28" xr:uid="{00000000-0005-0000-0000-00001C000000}"/>
    <cellStyle name="Sortie" xfId="29" xr:uid="{00000000-0005-0000-0000-00001D000000}"/>
    <cellStyle name="Texte explicatif" xfId="30" xr:uid="{00000000-0005-0000-0000-00001E000000}"/>
    <cellStyle name="Titre" xfId="31" xr:uid="{00000000-0005-0000-0000-00001F000000}"/>
    <cellStyle name="Titre 1" xfId="32" xr:uid="{00000000-0005-0000-0000-000020000000}"/>
    <cellStyle name="Titre 2" xfId="33" xr:uid="{00000000-0005-0000-0000-000021000000}"/>
    <cellStyle name="Titre 3" xfId="34" xr:uid="{00000000-0005-0000-0000-000022000000}"/>
    <cellStyle name="Titre 4" xfId="35" xr:uid="{00000000-0005-0000-0000-000023000000}"/>
    <cellStyle name="Vérification" xfId="36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zoomScaleNormal="120" workbookViewId="0">
      <selection activeCell="B32" sqref="B32"/>
    </sheetView>
  </sheetViews>
  <sheetFormatPr baseColWidth="10" defaultColWidth="11.3984375" defaultRowHeight="13.9" x14ac:dyDescent="0.4"/>
  <cols>
    <col min="1" max="1" width="39.1328125" style="12" bestFit="1" customWidth="1"/>
    <col min="2" max="4" width="11.265625" style="12" customWidth="1"/>
    <col min="5" max="16384" width="11.3984375" style="12"/>
  </cols>
  <sheetData>
    <row r="1" spans="1:12" x14ac:dyDescent="0.4">
      <c r="A1" s="12" t="s">
        <v>40</v>
      </c>
      <c r="B1" s="13">
        <v>800</v>
      </c>
      <c r="C1" s="13">
        <v>800</v>
      </c>
      <c r="D1" s="13"/>
      <c r="E1" s="20"/>
      <c r="F1" s="20"/>
      <c r="J1" s="20"/>
      <c r="K1" s="20"/>
      <c r="L1" s="20"/>
    </row>
    <row r="2" spans="1:12" x14ac:dyDescent="0.4">
      <c r="A2" s="12" t="s">
        <v>4</v>
      </c>
      <c r="B2" s="13">
        <v>1000</v>
      </c>
      <c r="C2" s="13">
        <v>1000</v>
      </c>
      <c r="D2" s="13"/>
      <c r="E2" s="15"/>
      <c r="F2" s="16"/>
      <c r="J2" s="22"/>
      <c r="K2" s="22"/>
      <c r="L2" s="62"/>
    </row>
    <row r="3" spans="1:12" x14ac:dyDescent="0.4">
      <c r="A3" s="12" t="s">
        <v>6</v>
      </c>
      <c r="B3" s="31">
        <v>0.02</v>
      </c>
      <c r="C3" s="31">
        <v>0.02</v>
      </c>
      <c r="D3" s="31"/>
      <c r="E3" s="15"/>
      <c r="F3" s="16"/>
      <c r="J3" s="25"/>
      <c r="K3" s="25"/>
      <c r="L3" s="62"/>
    </row>
    <row r="4" spans="1:12" x14ac:dyDescent="0.4">
      <c r="A4" s="12" t="s">
        <v>7</v>
      </c>
      <c r="B4" s="17">
        <f>+LN(1+B3)</f>
        <v>1.980262729617973E-2</v>
      </c>
      <c r="C4" s="17">
        <f>+LN(1+C3)</f>
        <v>1.980262729617973E-2</v>
      </c>
      <c r="D4" s="17"/>
      <c r="E4" s="15"/>
      <c r="F4" s="16"/>
      <c r="J4" s="26"/>
      <c r="K4" s="27"/>
    </row>
    <row r="5" spans="1:12" ht="14.25" x14ac:dyDescent="0.4">
      <c r="A5" s="1" t="s">
        <v>0</v>
      </c>
      <c r="B5" s="68">
        <v>1E-3</v>
      </c>
      <c r="C5" s="68">
        <v>10</v>
      </c>
      <c r="D5" s="63"/>
      <c r="E5" s="15"/>
      <c r="F5" s="16"/>
      <c r="J5" s="22"/>
      <c r="K5" s="22"/>
    </row>
    <row r="6" spans="1:12" ht="14.25" x14ac:dyDescent="0.4">
      <c r="A6" s="1" t="s">
        <v>1</v>
      </c>
      <c r="B6" s="21">
        <v>0.4</v>
      </c>
      <c r="C6" s="21">
        <v>0.4</v>
      </c>
      <c r="D6" s="21"/>
      <c r="E6" s="20"/>
    </row>
    <row r="7" spans="1:12" ht="16.149999999999999" x14ac:dyDescent="0.55000000000000004">
      <c r="A7" s="12" t="s">
        <v>32</v>
      </c>
      <c r="B7" s="24">
        <f>((LN(B1/B2)+(B4+B6*B6/2)*B5)/(B6*SQRT(B5)))</f>
        <v>-17.633156592820924</v>
      </c>
      <c r="C7" s="24">
        <f>((LN(C1/C2)+(C4+C6*C6/2)*C5)/(C6*SQRT(C5)))</f>
        <v>0.61259857997915967</v>
      </c>
      <c r="D7" s="24"/>
      <c r="F7" s="64"/>
    </row>
    <row r="8" spans="1:12" ht="16.149999999999999" x14ac:dyDescent="0.55000000000000004">
      <c r="A8" s="12" t="s">
        <v>38</v>
      </c>
      <c r="B8" s="24">
        <f>(B7-B6*SQRT(B5))</f>
        <v>-17.645805703461598</v>
      </c>
      <c r="C8" s="24">
        <f>(C7-C6*SQRT(C5))</f>
        <v>-0.65231248408819231</v>
      </c>
      <c r="D8" s="24"/>
    </row>
    <row r="9" spans="1:12" ht="16.149999999999999" x14ac:dyDescent="0.55000000000000004">
      <c r="A9" s="1" t="s">
        <v>39</v>
      </c>
      <c r="B9" s="24">
        <f>NORMSDIST(B7)</f>
        <v>6.854740918182014E-70</v>
      </c>
      <c r="C9" s="24">
        <f>NORMSDIST(C7)</f>
        <v>0.7299291012938518</v>
      </c>
      <c r="D9" s="24"/>
    </row>
    <row r="10" spans="1:12" ht="16.149999999999999" x14ac:dyDescent="0.55000000000000004">
      <c r="A10" s="1" t="s">
        <v>39</v>
      </c>
      <c r="B10" s="24">
        <f>NORMSDIST(B8)</f>
        <v>5.4799951453101006E-70</v>
      </c>
      <c r="C10" s="24">
        <f>NORMSDIST(C8)</f>
        <v>0.25709980406143024</v>
      </c>
      <c r="D10" s="24"/>
    </row>
    <row r="11" spans="1:12" x14ac:dyDescent="0.4">
      <c r="A11" s="12" t="s">
        <v>5</v>
      </c>
      <c r="B11" s="32">
        <f>1-B10</f>
        <v>1</v>
      </c>
      <c r="C11" s="32">
        <f>1-C10</f>
        <v>0.74290019593856971</v>
      </c>
      <c r="D11" s="24"/>
    </row>
    <row r="12" spans="1:12" x14ac:dyDescent="0.4">
      <c r="A12" s="28" t="s">
        <v>8</v>
      </c>
      <c r="B12" s="30">
        <f>B1*B9-B2*EXP(-B4*B5)*B10</f>
        <v>3.906106462491354E-70</v>
      </c>
      <c r="C12" s="30">
        <f>C1*C9-C2*EXP(-C4*C5)*C10</f>
        <v>373.03189387505165</v>
      </c>
      <c r="D12" s="24"/>
    </row>
    <row r="13" spans="1:12" x14ac:dyDescent="0.4">
      <c r="A13" s="28" t="s">
        <v>37</v>
      </c>
      <c r="B13" s="67">
        <f>+B1-B12</f>
        <v>800</v>
      </c>
      <c r="C13" s="67">
        <f>+C1-C12</f>
        <v>426.96810612494835</v>
      </c>
      <c r="D13" s="24"/>
    </row>
    <row r="14" spans="1:12" s="65" customFormat="1" x14ac:dyDescent="0.4">
      <c r="B14" s="66"/>
      <c r="C14" s="24"/>
      <c r="D14" s="24"/>
    </row>
    <row r="15" spans="1:12" s="65" customFormat="1" x14ac:dyDescent="0.4">
      <c r="B15" s="66"/>
      <c r="C15" s="24"/>
      <c r="D15" s="24"/>
    </row>
    <row r="16" spans="1:12" x14ac:dyDescent="0.4">
      <c r="C16" s="24"/>
      <c r="D16" s="24"/>
    </row>
    <row r="17" spans="2:4" x14ac:dyDescent="0.4">
      <c r="C17" s="24"/>
      <c r="D17" s="24"/>
    </row>
    <row r="18" spans="2:4" x14ac:dyDescent="0.4">
      <c r="C18" s="24"/>
      <c r="D18" s="24"/>
    </row>
    <row r="19" spans="2:4" x14ac:dyDescent="0.4">
      <c r="B19" s="14"/>
      <c r="C19" s="24"/>
      <c r="D19" s="24"/>
    </row>
    <row r="20" spans="2:4" x14ac:dyDescent="0.4">
      <c r="B20" s="14"/>
    </row>
  </sheetData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sqref="A1:H23"/>
    </sheetView>
  </sheetViews>
  <sheetFormatPr baseColWidth="10" defaultColWidth="11.3984375" defaultRowHeight="13.9" outlineLevelRow="1" x14ac:dyDescent="0.4"/>
  <cols>
    <col min="1" max="2" width="11.3984375" style="12"/>
    <col min="3" max="3" width="12" style="12" bestFit="1" customWidth="1"/>
    <col min="4" max="4" width="12" style="12" customWidth="1"/>
    <col min="5" max="6" width="11.3984375" style="12"/>
    <col min="7" max="7" width="12" style="12" bestFit="1" customWidth="1"/>
    <col min="8" max="16384" width="11.3984375" style="12"/>
  </cols>
  <sheetData>
    <row r="1" spans="1:10" x14ac:dyDescent="0.4">
      <c r="A1" s="65" t="s">
        <v>11</v>
      </c>
      <c r="B1" s="65"/>
      <c r="C1" s="65"/>
      <c r="F1" s="84">
        <v>80</v>
      </c>
      <c r="G1" s="84">
        <v>100</v>
      </c>
      <c r="H1" s="84">
        <v>120</v>
      </c>
      <c r="J1" s="65"/>
    </row>
    <row r="2" spans="1:10" x14ac:dyDescent="0.4">
      <c r="A2" s="12" t="s">
        <v>41</v>
      </c>
      <c r="F2" s="71">
        <v>100</v>
      </c>
      <c r="G2" s="82">
        <f t="shared" ref="G2:H4" si="0">+F2</f>
        <v>100</v>
      </c>
      <c r="H2" s="82">
        <f t="shared" si="0"/>
        <v>100</v>
      </c>
      <c r="J2" s="65"/>
    </row>
    <row r="3" spans="1:10" x14ac:dyDescent="0.4">
      <c r="A3" s="12" t="s">
        <v>7</v>
      </c>
      <c r="F3" s="72">
        <v>0.02</v>
      </c>
      <c r="G3" s="83">
        <f t="shared" si="0"/>
        <v>0.02</v>
      </c>
      <c r="H3" s="83">
        <f t="shared" si="0"/>
        <v>0.02</v>
      </c>
      <c r="J3" s="65"/>
    </row>
    <row r="4" spans="1:10" ht="14.25" x14ac:dyDescent="0.4">
      <c r="A4" s="1" t="s">
        <v>47</v>
      </c>
      <c r="F4" s="71">
        <v>1</v>
      </c>
      <c r="G4" s="82">
        <f t="shared" si="0"/>
        <v>1</v>
      </c>
      <c r="H4" s="82">
        <f t="shared" si="0"/>
        <v>1</v>
      </c>
      <c r="J4" s="65"/>
    </row>
    <row r="5" spans="1:10" ht="14.25" x14ac:dyDescent="0.4">
      <c r="A5" s="70" t="s">
        <v>48</v>
      </c>
      <c r="B5" s="65"/>
      <c r="C5" s="65"/>
      <c r="F5" s="73">
        <v>0.3</v>
      </c>
      <c r="G5" s="73">
        <v>0.3</v>
      </c>
      <c r="H5" s="73">
        <v>0.3</v>
      </c>
      <c r="J5" s="65"/>
    </row>
    <row r="6" spans="1:10" ht="16.149999999999999" hidden="1" outlineLevel="1" x14ac:dyDescent="0.55000000000000004">
      <c r="A6" s="65" t="s">
        <v>32</v>
      </c>
      <c r="B6" s="65"/>
      <c r="C6" s="65"/>
      <c r="F6" s="74">
        <f>+(LN(F1/$F$2)+($F$3+F5*F5/2)*$F$4)/F5/SQRT($F$4)</f>
        <v>-0.52714517104736569</v>
      </c>
      <c r="G6" s="74">
        <f>+(LN(G1/$F$2)+($F$3+G5*G5/2)*$F$4)/G5/SQRT($F$4)</f>
        <v>0.21666666666666667</v>
      </c>
      <c r="H6" s="74">
        <f>+(LN(H1/$F$2)+($F$3+H5*H5/2)*$F$4)/H5/SQRT($F$4)</f>
        <v>0.82440518931318196</v>
      </c>
      <c r="J6" s="65"/>
    </row>
    <row r="7" spans="1:10" ht="16.149999999999999" hidden="1" outlineLevel="1" x14ac:dyDescent="0.55000000000000004">
      <c r="A7" s="65" t="s">
        <v>50</v>
      </c>
      <c r="B7" s="65"/>
      <c r="C7" s="65"/>
      <c r="F7" s="74">
        <f>+F6-F5*SQRT($F$4)</f>
        <v>-0.82714517104736562</v>
      </c>
      <c r="G7" s="74">
        <f>+G6-G5*SQRT($F$4)</f>
        <v>-8.3333333333333315E-2</v>
      </c>
      <c r="H7" s="74">
        <f>+H6-H5*SQRT($F$4)</f>
        <v>0.52440518931318203</v>
      </c>
      <c r="J7" s="65"/>
    </row>
    <row r="8" spans="1:10" ht="16.149999999999999" collapsed="1" x14ac:dyDescent="0.55000000000000004">
      <c r="A8" s="70" t="s">
        <v>13</v>
      </c>
      <c r="B8" s="65"/>
      <c r="C8" s="65"/>
      <c r="F8" s="74">
        <f t="shared" ref="F8:H9" si="1">+NORMSDIST(F6)</f>
        <v>0.29904639019466051</v>
      </c>
      <c r="G8" s="74">
        <f t="shared" si="1"/>
        <v>0.58576593646952479</v>
      </c>
      <c r="H8" s="74">
        <f t="shared" si="1"/>
        <v>0.79514531636809771</v>
      </c>
      <c r="J8" s="65"/>
    </row>
    <row r="9" spans="1:10" ht="16.149999999999999" x14ac:dyDescent="0.55000000000000004">
      <c r="A9" s="70" t="s">
        <v>14</v>
      </c>
      <c r="B9" s="65"/>
      <c r="C9" s="65"/>
      <c r="F9" s="74">
        <f t="shared" si="1"/>
        <v>0.20407739202673003</v>
      </c>
      <c r="G9" s="74">
        <f t="shared" si="1"/>
        <v>0.46679324814737772</v>
      </c>
      <c r="H9" s="74">
        <f t="shared" si="1"/>
        <v>0.70000162601907334</v>
      </c>
      <c r="J9" s="65"/>
    </row>
    <row r="10" spans="1:10" hidden="1" outlineLevel="1" x14ac:dyDescent="0.4">
      <c r="A10" s="65" t="s">
        <v>9</v>
      </c>
      <c r="B10" s="65"/>
      <c r="C10" s="65"/>
      <c r="F10" s="74">
        <f>+F1*F8-$F$2*EXP(-$F$3*$F$4)*F9</f>
        <v>3.9200723239225042</v>
      </c>
      <c r="G10" s="74">
        <f>+G1*G8-$F$2*EXP(-$F$3*$F$4)*G9</f>
        <v>12.821581392691421</v>
      </c>
      <c r="H10" s="74">
        <f>+H1*H8-$F$2*EXP(-$F$3*$F$4)*H9</f>
        <v>26.803371450525006</v>
      </c>
      <c r="J10" s="65"/>
    </row>
    <row r="11" spans="1:10" collapsed="1" x14ac:dyDescent="0.4">
      <c r="A11" s="65" t="s">
        <v>42</v>
      </c>
      <c r="B11" s="65"/>
      <c r="C11" s="65"/>
      <c r="F11" s="75">
        <f>1-F9</f>
        <v>0.79592260797326997</v>
      </c>
      <c r="G11" s="75">
        <f>1-G9</f>
        <v>0.53320675185262223</v>
      </c>
      <c r="H11" s="75">
        <f>1-H9</f>
        <v>0.29999837398092666</v>
      </c>
      <c r="J11" s="65"/>
    </row>
    <row r="12" spans="1:10" hidden="1" outlineLevel="1" x14ac:dyDescent="0.4">
      <c r="A12" s="65" t="s">
        <v>51</v>
      </c>
      <c r="B12" s="65"/>
      <c r="C12" s="65"/>
      <c r="F12" s="76">
        <f>+F1-F10</f>
        <v>76.079927676077489</v>
      </c>
      <c r="G12" s="76">
        <f>+G1-G10</f>
        <v>87.178418607308572</v>
      </c>
      <c r="H12" s="76">
        <f>+H1-H10</f>
        <v>93.196628549474994</v>
      </c>
      <c r="J12" s="65"/>
    </row>
    <row r="13" spans="1:10" hidden="1" outlineLevel="1" x14ac:dyDescent="0.4">
      <c r="A13" s="65" t="s">
        <v>52</v>
      </c>
      <c r="B13" s="65"/>
      <c r="C13" s="65"/>
      <c r="F13" s="74">
        <f>+F2*EXP(-F3*F4)</f>
        <v>98.019867330675524</v>
      </c>
      <c r="G13" s="74">
        <f>+G2*EXP(-G3*G4)</f>
        <v>98.019867330675524</v>
      </c>
      <c r="H13" s="74">
        <f>+H2*EXP(-H3*H4)</f>
        <v>98.019867330675524</v>
      </c>
    </row>
    <row r="14" spans="1:10" ht="16.149999999999999" collapsed="1" x14ac:dyDescent="0.55000000000000004">
      <c r="A14" s="77" t="s">
        <v>54</v>
      </c>
      <c r="B14" s="77"/>
      <c r="C14" s="77"/>
      <c r="F14" s="81">
        <f>+(1-F8)/(1-F9)</f>
        <v>0.88068061239049533</v>
      </c>
      <c r="G14" s="81">
        <f>+(1-G8)/(1-G9)</f>
        <v>0.77687325243204919</v>
      </c>
      <c r="H14" s="81">
        <f>+(1-H8)/(1-H9)</f>
        <v>0.6828526465444329</v>
      </c>
    </row>
    <row r="15" spans="1:10" ht="16.149999999999999" x14ac:dyDescent="0.55000000000000004">
      <c r="A15" s="65" t="s">
        <v>53</v>
      </c>
      <c r="B15" s="65"/>
      <c r="C15" s="65"/>
      <c r="F15" s="74">
        <f>+F14*$F$1</f>
        <v>70.45444899123963</v>
      </c>
      <c r="G15" s="74">
        <f>+G14*$F$1</f>
        <v>62.149860194563935</v>
      </c>
      <c r="H15" s="74">
        <f>+H14*$F$1</f>
        <v>54.628211723554628</v>
      </c>
    </row>
    <row r="16" spans="1:10" x14ac:dyDescent="0.4">
      <c r="A16" s="77" t="s">
        <v>55</v>
      </c>
      <c r="B16" s="77"/>
      <c r="C16" s="77"/>
      <c r="F16" s="80">
        <f>+F13-F15</f>
        <v>27.565418339435894</v>
      </c>
      <c r="G16" s="80">
        <f>+G13-G15</f>
        <v>35.870007136111589</v>
      </c>
      <c r="H16" s="80">
        <f>+H13-H15</f>
        <v>43.391655607120896</v>
      </c>
    </row>
    <row r="17" spans="1:8" ht="16.149999999999999" x14ac:dyDescent="0.55000000000000004">
      <c r="A17" s="65" t="s">
        <v>56</v>
      </c>
      <c r="B17" s="65"/>
      <c r="C17" s="65"/>
      <c r="F17" s="74">
        <f>+F16*F11</f>
        <v>21.939939654598021</v>
      </c>
      <c r="G17" s="74">
        <f>+G16*G11</f>
        <v>19.126129993976441</v>
      </c>
      <c r="H17" s="74">
        <f>+H16*H11</f>
        <v>13.017426126476627</v>
      </c>
    </row>
    <row r="18" spans="1:8" x14ac:dyDescent="0.4">
      <c r="A18" s="65" t="s">
        <v>57</v>
      </c>
      <c r="B18" s="65"/>
      <c r="C18" s="65"/>
      <c r="F18" s="76">
        <f>+F13-F17</f>
        <v>76.079927676077503</v>
      </c>
      <c r="G18" s="76">
        <f>+G13-G17</f>
        <v>78.893737336699076</v>
      </c>
      <c r="H18" s="76">
        <f>+H13-H17</f>
        <v>85.002441204198902</v>
      </c>
    </row>
    <row r="19" spans="1:8" ht="16.149999999999999" x14ac:dyDescent="0.55000000000000004">
      <c r="A19" s="70" t="s">
        <v>49</v>
      </c>
      <c r="B19" s="65"/>
      <c r="C19" s="65"/>
      <c r="F19" s="74">
        <f>1-F8</f>
        <v>0.70095360980533949</v>
      </c>
      <c r="G19" s="74">
        <f>1-G8</f>
        <v>0.41423406353047521</v>
      </c>
      <c r="H19" s="74">
        <f>1-H8</f>
        <v>0.20485468363190229</v>
      </c>
    </row>
    <row r="20" spans="1:8" x14ac:dyDescent="0.4">
      <c r="A20" s="65" t="s">
        <v>43</v>
      </c>
      <c r="F20" s="74">
        <f>+$F$2*EXP(-$F$3*$F$4)/F1</f>
        <v>1.2252483416334441</v>
      </c>
      <c r="G20" s="74">
        <f>+$F$2*EXP(-$F$3*$F$4)/G1</f>
        <v>0.98019867330675525</v>
      </c>
      <c r="H20" s="74">
        <f>+$F$2*EXP(-$F$3*$F$4)/H1</f>
        <v>0.81683222775562936</v>
      </c>
    </row>
    <row r="21" spans="1:8" x14ac:dyDescent="0.4">
      <c r="A21" s="65" t="s">
        <v>44</v>
      </c>
      <c r="F21" s="74">
        <f>1/F20</f>
        <v>0.81616107202140464</v>
      </c>
      <c r="G21" s="74">
        <f>1/G20</f>
        <v>1.0202013400267558</v>
      </c>
      <c r="H21" s="74">
        <f>1/H20</f>
        <v>1.224241608032107</v>
      </c>
    </row>
    <row r="22" spans="1:8" x14ac:dyDescent="0.4">
      <c r="A22" s="77" t="s">
        <v>45</v>
      </c>
      <c r="B22" s="28"/>
      <c r="C22" s="28"/>
      <c r="F22" s="78">
        <f>-1/$F$4*LN(F9+F21*F19)</f>
        <v>0.25338571838130458</v>
      </c>
      <c r="G22" s="78">
        <f>-1/$F$4*LN(G9+G21*G19)</f>
        <v>0.11721337874006489</v>
      </c>
      <c r="H22" s="78">
        <f>-1/$F$4*LN(H9+H21*H19)</f>
        <v>5.0458639312710128E-2</v>
      </c>
    </row>
    <row r="23" spans="1:8" x14ac:dyDescent="0.4">
      <c r="A23" s="65" t="s">
        <v>46</v>
      </c>
      <c r="F23" s="79">
        <f>+$F$3+F22</f>
        <v>0.2733857183813046</v>
      </c>
      <c r="G23" s="79">
        <f>+$F$3+G22</f>
        <v>0.1372133787400649</v>
      </c>
      <c r="H23" s="79">
        <f>+$F$3+H22</f>
        <v>7.0458639312710125E-2</v>
      </c>
    </row>
  </sheetData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zoomScaleNormal="120" workbookViewId="0">
      <selection activeCell="B11" sqref="B11"/>
    </sheetView>
  </sheetViews>
  <sheetFormatPr baseColWidth="10" defaultColWidth="11.3984375" defaultRowHeight="13.9" x14ac:dyDescent="0.4"/>
  <cols>
    <col min="1" max="1" width="39.1328125" style="12" bestFit="1" customWidth="1"/>
    <col min="2" max="2" width="9.59765625" style="12" customWidth="1"/>
    <col min="3" max="16384" width="11.3984375" style="12"/>
  </cols>
  <sheetData>
    <row r="1" spans="1:8" x14ac:dyDescent="0.4">
      <c r="A1" s="12" t="s">
        <v>18</v>
      </c>
      <c r="B1" s="29">
        <v>800</v>
      </c>
      <c r="D1" s="15"/>
      <c r="E1" s="15"/>
      <c r="F1" s="16"/>
    </row>
    <row r="2" spans="1:8" x14ac:dyDescent="0.4">
      <c r="A2" s="12" t="s">
        <v>17</v>
      </c>
      <c r="B2" s="13">
        <v>1000</v>
      </c>
      <c r="D2" s="15"/>
      <c r="E2" s="15"/>
      <c r="F2" s="16"/>
    </row>
    <row r="3" spans="1:8" x14ac:dyDescent="0.4">
      <c r="A3" s="12" t="s">
        <v>6</v>
      </c>
      <c r="B3" s="31">
        <v>0.02</v>
      </c>
      <c r="D3" s="15"/>
      <c r="E3" s="15"/>
      <c r="F3" s="16"/>
    </row>
    <row r="4" spans="1:8" x14ac:dyDescent="0.4">
      <c r="A4" s="12" t="s">
        <v>7</v>
      </c>
      <c r="B4" s="17">
        <f>LN(1+B3)</f>
        <v>1.980262729617973E-2</v>
      </c>
      <c r="F4" s="18"/>
    </row>
    <row r="5" spans="1:8" ht="14.25" x14ac:dyDescent="0.4">
      <c r="A5" s="1" t="s">
        <v>0</v>
      </c>
      <c r="B5" s="19">
        <v>5</v>
      </c>
    </row>
    <row r="6" spans="1:8" ht="14.25" x14ac:dyDescent="0.4">
      <c r="A6" s="1" t="s">
        <v>1</v>
      </c>
      <c r="B6" s="21">
        <v>0.4</v>
      </c>
      <c r="F6" s="20"/>
      <c r="G6" s="20"/>
      <c r="H6" s="20"/>
    </row>
    <row r="7" spans="1:8" x14ac:dyDescent="0.4">
      <c r="A7" s="12" t="s">
        <v>2</v>
      </c>
      <c r="B7" s="24">
        <f>((LN(B1/B2)+(B4+B6*B6/2)*B5)/(B6*SQRT(B5)))</f>
        <v>0.30843157267869215</v>
      </c>
      <c r="F7" s="25"/>
      <c r="G7" s="25"/>
      <c r="H7" s="23"/>
    </row>
    <row r="8" spans="1:8" x14ac:dyDescent="0.4">
      <c r="A8" s="12" t="s">
        <v>3</v>
      </c>
      <c r="B8" s="24">
        <f>(B7-B6*SQRT(B5))</f>
        <v>-0.58599561832122382</v>
      </c>
      <c r="F8" s="26"/>
      <c r="G8" s="27"/>
    </row>
    <row r="9" spans="1:8" ht="16.149999999999999" x14ac:dyDescent="0.55000000000000004">
      <c r="A9" s="1" t="s">
        <v>15</v>
      </c>
      <c r="B9" s="24">
        <f>NORMSDIST(B7)</f>
        <v>0.6211230196618357</v>
      </c>
      <c r="F9" s="22"/>
      <c r="G9" s="22"/>
    </row>
    <row r="10" spans="1:8" ht="16.149999999999999" x14ac:dyDescent="0.55000000000000004">
      <c r="A10" s="1" t="s">
        <v>16</v>
      </c>
      <c r="B10" s="24">
        <f>NORMSDIST(B8)</f>
        <v>0.27893922967831197</v>
      </c>
    </row>
    <row r="11" spans="1:8" x14ac:dyDescent="0.4">
      <c r="A11" s="28" t="s">
        <v>12</v>
      </c>
      <c r="B11" s="30">
        <f>B1*B9-B2*EXP(-B4*B5)*B10</f>
        <v>244.25456133959818</v>
      </c>
    </row>
  </sheetData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zoomScaleNormal="120" workbookViewId="0"/>
  </sheetViews>
  <sheetFormatPr baseColWidth="10" defaultColWidth="11.3984375" defaultRowHeight="14.25" x14ac:dyDescent="0.45"/>
  <cols>
    <col min="1" max="1" width="39.1328125" bestFit="1" customWidth="1"/>
    <col min="2" max="2" width="9.59765625" customWidth="1"/>
  </cols>
  <sheetData>
    <row r="1" spans="1:8" x14ac:dyDescent="0.45">
      <c r="A1" s="12" t="s">
        <v>10</v>
      </c>
      <c r="B1" s="69">
        <v>800</v>
      </c>
      <c r="C1" s="69">
        <v>1000</v>
      </c>
      <c r="D1" s="69">
        <v>1200</v>
      </c>
    </row>
    <row r="2" spans="1:8" ht="14.65" x14ac:dyDescent="0.45">
      <c r="A2" s="12" t="s">
        <v>58</v>
      </c>
      <c r="B2" s="32">
        <f>1/B7</f>
        <v>0.1</v>
      </c>
      <c r="C2" s="32">
        <f>1/C7</f>
        <v>0.1</v>
      </c>
      <c r="D2" s="32">
        <f>1/D7</f>
        <v>0.1</v>
      </c>
    </row>
    <row r="3" spans="1:8" ht="15.75" x14ac:dyDescent="0.45">
      <c r="A3" s="12" t="s">
        <v>59</v>
      </c>
      <c r="B3" s="33">
        <f>B1*EXP(-B2*B7)</f>
        <v>294.30355293715388</v>
      </c>
      <c r="C3" s="33">
        <f>C1*EXP(-C2*C7)</f>
        <v>367.87944117144235</v>
      </c>
      <c r="D3" s="33">
        <f>D1*EXP(-D2*D7)</f>
        <v>441.45532940573082</v>
      </c>
      <c r="E3" s="7"/>
      <c r="F3" s="2"/>
    </row>
    <row r="4" spans="1:8" ht="16.149999999999999" x14ac:dyDescent="0.55000000000000004">
      <c r="A4" s="12" t="s">
        <v>20</v>
      </c>
      <c r="B4" s="13">
        <v>1000</v>
      </c>
      <c r="C4" s="36">
        <f>+B4</f>
        <v>1000</v>
      </c>
      <c r="D4" s="36">
        <f>+C4</f>
        <v>1000</v>
      </c>
      <c r="E4" s="7"/>
      <c r="F4" s="2"/>
    </row>
    <row r="5" spans="1:8" x14ac:dyDescent="0.45">
      <c r="A5" s="12" t="s">
        <v>6</v>
      </c>
      <c r="B5" s="31">
        <v>0.02</v>
      </c>
      <c r="C5" s="17">
        <f>+B5</f>
        <v>0.02</v>
      </c>
      <c r="D5" s="17">
        <f>+C5</f>
        <v>0.02</v>
      </c>
      <c r="E5" s="7"/>
      <c r="F5" s="2"/>
    </row>
    <row r="6" spans="1:8" x14ac:dyDescent="0.45">
      <c r="A6" s="12" t="s">
        <v>7</v>
      </c>
      <c r="B6" s="17">
        <f>+LN(1+B5)</f>
        <v>1.980262729617973E-2</v>
      </c>
      <c r="C6" s="17">
        <f>+LN(1+C5)</f>
        <v>1.980262729617973E-2</v>
      </c>
      <c r="D6" s="17">
        <f>+LN(1+D5)</f>
        <v>1.980262729617973E-2</v>
      </c>
      <c r="F6" s="6"/>
    </row>
    <row r="7" spans="1:8" ht="14.65" x14ac:dyDescent="0.45">
      <c r="A7" s="1" t="s">
        <v>0</v>
      </c>
      <c r="B7" s="19">
        <v>10</v>
      </c>
      <c r="C7" s="37">
        <v>10</v>
      </c>
      <c r="D7" s="37">
        <v>10</v>
      </c>
    </row>
    <row r="8" spans="1:8" ht="14.65" x14ac:dyDescent="0.45">
      <c r="A8" s="1" t="s">
        <v>1</v>
      </c>
      <c r="B8" s="34">
        <v>0.4</v>
      </c>
      <c r="C8" s="38">
        <f>+B8</f>
        <v>0.4</v>
      </c>
      <c r="D8" s="38">
        <f>+C8</f>
        <v>0.4</v>
      </c>
      <c r="F8" s="3"/>
      <c r="G8" s="3"/>
      <c r="H8" s="3"/>
    </row>
    <row r="9" spans="1:8" x14ac:dyDescent="0.45">
      <c r="A9" s="12" t="s">
        <v>2</v>
      </c>
      <c r="B9" s="24">
        <f>((LN(B3/B4)+(B6+B8*B8/2)*B7)/(B8*SQRT(B7)))</f>
        <v>-0.17797083506293496</v>
      </c>
      <c r="C9" s="24">
        <f>((LN(C3/C4)+(C6+C8*C8/2)*C7)/(C8*SQRT(C7)))</f>
        <v>-1.5603682300445426E-3</v>
      </c>
      <c r="D9" s="24">
        <f>((LN(D3/D4)+(D6+D8*D8/2)*D7)/(D8*SQRT(D7)))</f>
        <v>0.14257747827411635</v>
      </c>
      <c r="F9" s="9"/>
      <c r="G9" s="9"/>
      <c r="H9" s="11"/>
    </row>
    <row r="10" spans="1:8" x14ac:dyDescent="0.45">
      <c r="A10" s="12" t="s">
        <v>3</v>
      </c>
      <c r="B10" s="24">
        <f>(B9-B8*SQRT(B7))</f>
        <v>-1.442881899130287</v>
      </c>
      <c r="C10" s="24">
        <f>(C9-C8*SQRT(C7))</f>
        <v>-1.2664714322973964</v>
      </c>
      <c r="D10" s="24">
        <f>(D9-D8*SQRT(D7))</f>
        <v>-1.1223335857932357</v>
      </c>
      <c r="F10" s="10"/>
      <c r="G10" s="4"/>
    </row>
    <row r="11" spans="1:8" ht="16.149999999999999" x14ac:dyDescent="0.55000000000000004">
      <c r="A11" s="1" t="s">
        <v>13</v>
      </c>
      <c r="B11" s="24">
        <f t="shared" ref="B11:D12" si="0">NORMSDIST(B9)</f>
        <v>0.42937294015501626</v>
      </c>
      <c r="C11" s="24">
        <f t="shared" si="0"/>
        <v>0.49937750339264392</v>
      </c>
      <c r="D11" s="24">
        <f t="shared" si="0"/>
        <v>0.55668805726612347</v>
      </c>
      <c r="F11" s="8"/>
      <c r="G11" s="8"/>
    </row>
    <row r="12" spans="1:8" ht="16.149999999999999" x14ac:dyDescent="0.55000000000000004">
      <c r="A12" s="1" t="s">
        <v>14</v>
      </c>
      <c r="B12" s="24">
        <f t="shared" si="0"/>
        <v>7.4526871486091509E-2</v>
      </c>
      <c r="C12" s="24">
        <f t="shared" si="0"/>
        <v>0.10267217546012082</v>
      </c>
      <c r="D12" s="24">
        <f t="shared" si="0"/>
        <v>0.13086031555825611</v>
      </c>
    </row>
    <row r="13" spans="1:8" ht="16.5" x14ac:dyDescent="0.55000000000000004">
      <c r="A13" s="12" t="s">
        <v>21</v>
      </c>
      <c r="B13" s="35">
        <f>B3*EXP(B6*B7)*B11</f>
        <v>154.03942671902198</v>
      </c>
      <c r="C13" s="35">
        <f>C3*EXP(C6*C7)*C11</f>
        <v>223.9423387719996</v>
      </c>
      <c r="D13" s="35">
        <f>D3*EXP(D6*D7)*D11</f>
        <v>299.57142561769535</v>
      </c>
    </row>
    <row r="14" spans="1:8" ht="16.149999999999999" x14ac:dyDescent="0.55000000000000004">
      <c r="A14" s="12" t="s">
        <v>22</v>
      </c>
      <c r="B14" s="35">
        <f>B4*B12</f>
        <v>74.526871486091508</v>
      </c>
      <c r="C14" s="35">
        <f>C4*C12</f>
        <v>102.67217546012083</v>
      </c>
      <c r="D14" s="35">
        <f>D4*D12</f>
        <v>130.8603155582561</v>
      </c>
    </row>
    <row r="15" spans="1:8" ht="16.5" x14ac:dyDescent="0.55000000000000004">
      <c r="A15" s="12" t="s">
        <v>23</v>
      </c>
      <c r="B15" s="35">
        <f>B13-B14</f>
        <v>79.512555232930467</v>
      </c>
      <c r="C15" s="35">
        <f>C13-C14</f>
        <v>121.27016331187878</v>
      </c>
      <c r="D15" s="35">
        <f>D13-D14</f>
        <v>168.71111005943925</v>
      </c>
    </row>
    <row r="16" spans="1:8" ht="16.5" x14ac:dyDescent="0.55000000000000004">
      <c r="A16" s="12" t="s">
        <v>24</v>
      </c>
      <c r="B16" s="35">
        <f>EXP(-B6*B7)*B15</f>
        <v>65.227989504063871</v>
      </c>
      <c r="C16" s="35">
        <f>EXP(-C6*C7)*C15</f>
        <v>99.483772298482165</v>
      </c>
      <c r="D16" s="35">
        <f>EXP(-D6*D7)*D15</f>
        <v>138.40187230731118</v>
      </c>
    </row>
    <row r="17" spans="1:4" x14ac:dyDescent="0.45">
      <c r="A17" s="28" t="s">
        <v>19</v>
      </c>
      <c r="B17" s="30">
        <f>B3*B11-B4*EXP(-B6*B7)*B12</f>
        <v>65.227989504063885</v>
      </c>
      <c r="C17" s="30">
        <f>C3*C11-C4*EXP(-C6*C7)*C12</f>
        <v>99.483772298482151</v>
      </c>
      <c r="D17" s="30">
        <f>D3*D11-D4*EXP(-D6*D7)*D12</f>
        <v>138.40187230731118</v>
      </c>
    </row>
    <row r="18" spans="1:4" x14ac:dyDescent="0.45">
      <c r="B18" s="5"/>
    </row>
  </sheetData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9"/>
  <sheetViews>
    <sheetView workbookViewId="0">
      <selection activeCell="E35" sqref="E35"/>
    </sheetView>
  </sheetViews>
  <sheetFormatPr baseColWidth="10" defaultColWidth="11.3984375" defaultRowHeight="13.15" outlineLevelCol="2" x14ac:dyDescent="0.4"/>
  <cols>
    <col min="1" max="1" width="22.59765625" style="41" customWidth="1"/>
    <col min="2" max="2" width="8" style="41" customWidth="1" outlineLevel="2"/>
    <col min="3" max="5" width="6.3984375" style="41" customWidth="1" outlineLevel="2"/>
    <col min="6" max="6" width="6.3984375" style="41" customWidth="1"/>
    <col min="7" max="7" width="6.3984375" style="41" bestFit="1" customWidth="1"/>
    <col min="8" max="14" width="6.265625" style="41" bestFit="1" customWidth="1"/>
    <col min="15" max="15" width="6.265625" style="41" customWidth="1"/>
    <col min="16" max="16384" width="11.3984375" style="41"/>
  </cols>
  <sheetData>
    <row r="1" spans="1:15" ht="13.9" x14ac:dyDescent="0.4">
      <c r="A1" s="39" t="s">
        <v>25</v>
      </c>
      <c r="B1" s="40">
        <v>1</v>
      </c>
      <c r="C1" s="40">
        <v>2</v>
      </c>
      <c r="D1" s="40"/>
      <c r="E1" s="40"/>
      <c r="F1" s="40">
        <v>1</v>
      </c>
      <c r="G1" s="41">
        <f t="shared" ref="G1:M1" si="0">F1+1</f>
        <v>2</v>
      </c>
      <c r="H1" s="41">
        <f t="shared" si="0"/>
        <v>3</v>
      </c>
      <c r="I1" s="41">
        <f t="shared" si="0"/>
        <v>4</v>
      </c>
      <c r="J1" s="41">
        <f t="shared" si="0"/>
        <v>5</v>
      </c>
      <c r="K1" s="41">
        <f t="shared" si="0"/>
        <v>6</v>
      </c>
      <c r="L1" s="41">
        <f t="shared" si="0"/>
        <v>7</v>
      </c>
      <c r="M1" s="41">
        <f t="shared" si="0"/>
        <v>8</v>
      </c>
      <c r="N1" s="41">
        <f>M1+1</f>
        <v>9</v>
      </c>
      <c r="O1" s="41">
        <f>N1+1</f>
        <v>10</v>
      </c>
    </row>
    <row r="2" spans="1:15" ht="5.25" customHeight="1" x14ac:dyDescent="0.4">
      <c r="B2" s="40"/>
      <c r="C2" s="40"/>
      <c r="D2" s="40"/>
      <c r="E2" s="40"/>
      <c r="F2" s="40"/>
    </row>
    <row r="3" spans="1:15" ht="16.149999999999999" x14ac:dyDescent="0.55000000000000004">
      <c r="A3" s="39" t="s">
        <v>30</v>
      </c>
      <c r="B3" s="40">
        <v>93</v>
      </c>
      <c r="C3" s="40">
        <v>93</v>
      </c>
      <c r="D3" s="40"/>
      <c r="E3" s="40"/>
      <c r="F3" s="40">
        <f>B3</f>
        <v>93</v>
      </c>
      <c r="G3" s="41">
        <f>C3</f>
        <v>93</v>
      </c>
      <c r="H3" s="41">
        <f t="shared" ref="H3:N4" si="1">G3</f>
        <v>93</v>
      </c>
      <c r="I3" s="41">
        <f t="shared" si="1"/>
        <v>93</v>
      </c>
      <c r="J3" s="41">
        <f t="shared" si="1"/>
        <v>93</v>
      </c>
      <c r="K3" s="41">
        <f t="shared" si="1"/>
        <v>93</v>
      </c>
      <c r="L3" s="41">
        <f t="shared" si="1"/>
        <v>93</v>
      </c>
      <c r="M3" s="41">
        <f t="shared" si="1"/>
        <v>93</v>
      </c>
      <c r="N3" s="41">
        <f t="shared" si="1"/>
        <v>93</v>
      </c>
      <c r="O3" s="41">
        <f>N3</f>
        <v>93</v>
      </c>
    </row>
    <row r="4" spans="1:15" ht="13.9" x14ac:dyDescent="0.4">
      <c r="A4" s="39" t="s">
        <v>26</v>
      </c>
      <c r="B4" s="42">
        <v>5.9999999999999995E-4</v>
      </c>
      <c r="C4" s="42">
        <v>5.9999999999999995E-4</v>
      </c>
      <c r="D4" s="42"/>
      <c r="E4" s="42"/>
      <c r="F4" s="42"/>
      <c r="G4" s="43">
        <f>C4</f>
        <v>5.9999999999999995E-4</v>
      </c>
      <c r="H4" s="43">
        <f t="shared" si="1"/>
        <v>5.9999999999999995E-4</v>
      </c>
      <c r="I4" s="43">
        <f t="shared" si="1"/>
        <v>5.9999999999999995E-4</v>
      </c>
      <c r="J4" s="43">
        <f t="shared" si="1"/>
        <v>5.9999999999999995E-4</v>
      </c>
      <c r="K4" s="43">
        <f t="shared" si="1"/>
        <v>5.9999999999999995E-4</v>
      </c>
      <c r="L4" s="43">
        <f t="shared" si="1"/>
        <v>5.9999999999999995E-4</v>
      </c>
      <c r="M4" s="43">
        <f t="shared" si="1"/>
        <v>5.9999999999999995E-4</v>
      </c>
      <c r="N4" s="43">
        <f t="shared" si="1"/>
        <v>5.9999999999999995E-4</v>
      </c>
      <c r="O4" s="43">
        <f>N4</f>
        <v>5.9999999999999995E-4</v>
      </c>
    </row>
    <row r="5" spans="1:15" ht="15.75" x14ac:dyDescent="0.5">
      <c r="A5" s="39" t="s">
        <v>31</v>
      </c>
      <c r="B5" s="44">
        <f>B3*EXP(-B4*B10)</f>
        <v>92.999999442000004</v>
      </c>
      <c r="C5" s="44">
        <f>C3*EXP(-C4*C10)</f>
        <v>92.721418081813695</v>
      </c>
      <c r="D5" s="44"/>
      <c r="E5" s="44"/>
      <c r="F5" s="44"/>
      <c r="G5" s="44">
        <f>G3*EXP(-G4*G10)</f>
        <v>92.944216736652507</v>
      </c>
      <c r="H5" s="44">
        <f t="shared" ref="H5:N5" si="2">H3*EXP(-H4*H10)</f>
        <v>92.888466933224038</v>
      </c>
      <c r="I5" s="44">
        <f t="shared" si="2"/>
        <v>92.832750569644674</v>
      </c>
      <c r="J5" s="44">
        <f t="shared" si="2"/>
        <v>92.777067625856503</v>
      </c>
      <c r="K5" s="44">
        <f t="shared" si="2"/>
        <v>92.721418081813695</v>
      </c>
      <c r="L5" s="44">
        <f t="shared" si="2"/>
        <v>92.665801917482383</v>
      </c>
      <c r="M5" s="44">
        <f t="shared" si="2"/>
        <v>92.610219112840767</v>
      </c>
      <c r="N5" s="44">
        <f t="shared" si="2"/>
        <v>92.554669647879038</v>
      </c>
      <c r="O5" s="44">
        <f>O3*EXP(-O4*O10)</f>
        <v>92.499153502599384</v>
      </c>
    </row>
    <row r="6" spans="1:15" ht="13.9" x14ac:dyDescent="0.4">
      <c r="A6" s="39" t="s">
        <v>17</v>
      </c>
      <c r="B6" s="40">
        <v>50</v>
      </c>
      <c r="C6" s="40">
        <v>50</v>
      </c>
      <c r="D6" s="40"/>
      <c r="E6" s="40"/>
      <c r="F6" s="40">
        <f>B6</f>
        <v>50</v>
      </c>
      <c r="G6" s="41">
        <f>C6</f>
        <v>50</v>
      </c>
      <c r="H6" s="41">
        <f t="shared" ref="H6:N7" si="3">G6</f>
        <v>50</v>
      </c>
      <c r="I6" s="41">
        <f t="shared" si="3"/>
        <v>50</v>
      </c>
      <c r="J6" s="41">
        <f t="shared" si="3"/>
        <v>50</v>
      </c>
      <c r="K6" s="41">
        <f t="shared" si="3"/>
        <v>50</v>
      </c>
      <c r="L6" s="41">
        <f t="shared" si="3"/>
        <v>50</v>
      </c>
      <c r="M6" s="41">
        <f t="shared" si="3"/>
        <v>50</v>
      </c>
      <c r="N6" s="41">
        <f t="shared" si="3"/>
        <v>50</v>
      </c>
      <c r="O6" s="41">
        <f>N6</f>
        <v>50</v>
      </c>
    </row>
    <row r="7" spans="1:15" ht="13.9" x14ac:dyDescent="0.4">
      <c r="A7" s="39" t="s">
        <v>6</v>
      </c>
      <c r="B7" s="45">
        <v>2.1999999999999999E-2</v>
      </c>
      <c r="C7" s="42">
        <v>2.1999999999999999E-2</v>
      </c>
      <c r="D7" s="42"/>
      <c r="E7" s="42"/>
      <c r="F7" s="42"/>
      <c r="G7" s="46">
        <f>C7</f>
        <v>2.1999999999999999E-2</v>
      </c>
      <c r="H7" s="46">
        <f t="shared" si="3"/>
        <v>2.1999999999999999E-2</v>
      </c>
      <c r="I7" s="46">
        <f t="shared" si="3"/>
        <v>2.1999999999999999E-2</v>
      </c>
      <c r="J7" s="46">
        <f t="shared" si="3"/>
        <v>2.1999999999999999E-2</v>
      </c>
      <c r="K7" s="46">
        <f t="shared" si="3"/>
        <v>2.1999999999999999E-2</v>
      </c>
      <c r="L7" s="46">
        <f t="shared" si="3"/>
        <v>2.1999999999999999E-2</v>
      </c>
      <c r="M7" s="46">
        <f t="shared" si="3"/>
        <v>2.1999999999999999E-2</v>
      </c>
      <c r="N7" s="46">
        <f t="shared" si="3"/>
        <v>2.1999999999999999E-2</v>
      </c>
      <c r="O7" s="46">
        <f>N7</f>
        <v>2.1999999999999999E-2</v>
      </c>
    </row>
    <row r="8" spans="1:15" x14ac:dyDescent="0.4">
      <c r="A8" s="39" t="s">
        <v>7</v>
      </c>
      <c r="B8" s="47">
        <f>LN(1+B7)</f>
        <v>2.176149178151271E-2</v>
      </c>
      <c r="C8" s="43">
        <f>LN(1+C7)</f>
        <v>2.176149178151271E-2</v>
      </c>
      <c r="D8" s="43"/>
      <c r="E8" s="43"/>
      <c r="F8" s="43"/>
      <c r="G8" s="43">
        <f>LN(1+G7)</f>
        <v>2.176149178151271E-2</v>
      </c>
      <c r="H8" s="43">
        <f t="shared" ref="H8:N8" si="4">LN(1+H7)</f>
        <v>2.176149178151271E-2</v>
      </c>
      <c r="I8" s="43">
        <f t="shared" si="4"/>
        <v>2.176149178151271E-2</v>
      </c>
      <c r="J8" s="43">
        <f t="shared" si="4"/>
        <v>2.176149178151271E-2</v>
      </c>
      <c r="K8" s="43">
        <f t="shared" si="4"/>
        <v>2.176149178151271E-2</v>
      </c>
      <c r="L8" s="43">
        <f t="shared" si="4"/>
        <v>2.176149178151271E-2</v>
      </c>
      <c r="M8" s="43">
        <f t="shared" si="4"/>
        <v>2.176149178151271E-2</v>
      </c>
      <c r="N8" s="43">
        <f t="shared" si="4"/>
        <v>2.176149178151271E-2</v>
      </c>
      <c r="O8" s="43">
        <f>LN(1+O7)</f>
        <v>2.176149178151271E-2</v>
      </c>
    </row>
    <row r="9" spans="1:15" ht="14.25" x14ac:dyDescent="0.4">
      <c r="A9" s="85" t="s">
        <v>1</v>
      </c>
      <c r="B9" s="48">
        <v>0.8</v>
      </c>
      <c r="C9" s="49">
        <v>0.8</v>
      </c>
      <c r="D9" s="49"/>
      <c r="E9" s="49"/>
      <c r="F9" s="49"/>
      <c r="G9" s="50">
        <f>C9</f>
        <v>0.8</v>
      </c>
      <c r="H9" s="50">
        <f t="shared" ref="H9:N9" si="5">G9</f>
        <v>0.8</v>
      </c>
      <c r="I9" s="50">
        <f t="shared" si="5"/>
        <v>0.8</v>
      </c>
      <c r="J9" s="50">
        <f t="shared" si="5"/>
        <v>0.8</v>
      </c>
      <c r="K9" s="50">
        <f t="shared" si="5"/>
        <v>0.8</v>
      </c>
      <c r="L9" s="50">
        <f t="shared" si="5"/>
        <v>0.8</v>
      </c>
      <c r="M9" s="50">
        <f t="shared" si="5"/>
        <v>0.8</v>
      </c>
      <c r="N9" s="50">
        <f t="shared" si="5"/>
        <v>0.8</v>
      </c>
      <c r="O9" s="50">
        <f>N9</f>
        <v>0.8</v>
      </c>
    </row>
    <row r="10" spans="1:15" ht="14.25" x14ac:dyDescent="0.4">
      <c r="A10" s="85" t="s">
        <v>0</v>
      </c>
      <c r="B10" s="51">
        <v>1.0000000000000001E-5</v>
      </c>
      <c r="C10" s="40">
        <v>5</v>
      </c>
      <c r="G10" s="52">
        <v>1</v>
      </c>
      <c r="H10" s="41">
        <f t="shared" ref="H10:N10" si="6">G10+1</f>
        <v>2</v>
      </c>
      <c r="I10" s="41">
        <f t="shared" si="6"/>
        <v>3</v>
      </c>
      <c r="J10" s="41">
        <f t="shared" si="6"/>
        <v>4</v>
      </c>
      <c r="K10" s="41">
        <f t="shared" si="6"/>
        <v>5</v>
      </c>
      <c r="L10" s="41">
        <f t="shared" si="6"/>
        <v>6</v>
      </c>
      <c r="M10" s="41">
        <f t="shared" si="6"/>
        <v>7</v>
      </c>
      <c r="N10" s="41">
        <f t="shared" si="6"/>
        <v>8</v>
      </c>
      <c r="O10" s="41">
        <f>N10+1</f>
        <v>9</v>
      </c>
    </row>
    <row r="11" spans="1:15" ht="5.25" customHeight="1" x14ac:dyDescent="0.4">
      <c r="A11" s="39"/>
      <c r="B11" s="53"/>
    </row>
    <row r="12" spans="1:15" ht="16.149999999999999" x14ac:dyDescent="0.55000000000000004">
      <c r="A12" s="39" t="s">
        <v>32</v>
      </c>
      <c r="B12" s="54">
        <f>(LN(B5/B6)+(B8+B9*B9/2)*B10)/(B9*SQRT(B10))</f>
        <v>245.30574400406391</v>
      </c>
      <c r="C12" s="55">
        <f>(LN(C5/C6)+(C8+C9*C9/2)*C10)/(C9*SQRT(C10))</f>
        <v>1.3004881616087254</v>
      </c>
      <c r="D12" s="55"/>
      <c r="E12" s="55"/>
      <c r="F12" s="55"/>
      <c r="G12" s="55">
        <f>(LN(G5/G6)+(G8+G9*G9/2)*G10)/(G9*SQRT(G10))</f>
        <v>1.2021724743832785</v>
      </c>
      <c r="H12" s="55">
        <f>(LN(H5/H6)+(H8+H9*H9/2)*H10)/(H9*SQRT(H10))</f>
        <v>1.1516113141902597</v>
      </c>
      <c r="I12" s="55">
        <f t="shared" ref="I12:O12" si="7">(LN(I5/I6)+(I8+I9*I9/2)*I10)/(I9*SQRT(I10))</f>
        <v>1.186498799490521</v>
      </c>
      <c r="J12" s="55">
        <f t="shared" si="7"/>
        <v>1.2407640342819755</v>
      </c>
      <c r="K12" s="55">
        <f t="shared" si="7"/>
        <v>1.3004881616087254</v>
      </c>
      <c r="L12" s="55">
        <f t="shared" si="7"/>
        <v>1.3612760812090845</v>
      </c>
      <c r="M12" s="55">
        <f t="shared" si="7"/>
        <v>1.421480411638284</v>
      </c>
      <c r="N12" s="55">
        <f t="shared" si="7"/>
        <v>1.4804466732892283</v>
      </c>
      <c r="O12" s="55">
        <f t="shared" si="7"/>
        <v>1.5379291307328018</v>
      </c>
    </row>
    <row r="13" spans="1:15" ht="16.149999999999999" x14ac:dyDescent="0.55000000000000004">
      <c r="A13" s="39" t="s">
        <v>33</v>
      </c>
      <c r="B13" s="54">
        <f>B12-B9*SQRT(B10)</f>
        <v>245.30321418193577</v>
      </c>
      <c r="C13" s="55">
        <f>C12-C9*SQRT(C10)</f>
        <v>-0.48836622039110655</v>
      </c>
      <c r="D13" s="55"/>
      <c r="E13" s="55"/>
      <c r="F13" s="55"/>
      <c r="G13" s="55">
        <f>G12-G9*SQRT(G10)</f>
        <v>0.40217247438327841</v>
      </c>
      <c r="H13" s="55">
        <f t="shared" ref="H13:N13" si="8">H12-H9*SQRT(H10)</f>
        <v>2.02404642917835E-2</v>
      </c>
      <c r="I13" s="55">
        <f t="shared" si="8"/>
        <v>-0.19914184656458089</v>
      </c>
      <c r="J13" s="55">
        <f t="shared" si="8"/>
        <v>-0.35923596571802463</v>
      </c>
      <c r="K13" s="55">
        <f t="shared" si="8"/>
        <v>-0.48836622039110655</v>
      </c>
      <c r="L13" s="55">
        <f t="shared" si="8"/>
        <v>-0.5983157130174579</v>
      </c>
      <c r="M13" s="55">
        <f t="shared" si="8"/>
        <v>-0.69512063721338868</v>
      </c>
      <c r="N13" s="55">
        <f t="shared" si="8"/>
        <v>-0.7822950265077242</v>
      </c>
      <c r="O13" s="55">
        <f>O12-O9*SQRT(O10)</f>
        <v>-0.86207086926719856</v>
      </c>
    </row>
    <row r="14" spans="1:15" ht="16.149999999999999" x14ac:dyDescent="0.55000000000000004">
      <c r="A14" s="61" t="s">
        <v>34</v>
      </c>
      <c r="B14" s="54">
        <f>NORMSDIST(B12)</f>
        <v>1</v>
      </c>
      <c r="C14" s="55">
        <f>NORMSDIST(C12)</f>
        <v>0.9032831444399283</v>
      </c>
      <c r="D14" s="55"/>
      <c r="E14" s="55"/>
      <c r="F14" s="55"/>
      <c r="G14" s="55">
        <f t="shared" ref="G14:O15" si="9">NORMSDIST(G12)</f>
        <v>0.88535164426114032</v>
      </c>
      <c r="H14" s="55">
        <f t="shared" si="9"/>
        <v>0.87525958500079681</v>
      </c>
      <c r="I14" s="55">
        <f t="shared" si="9"/>
        <v>0.88228731235196145</v>
      </c>
      <c r="J14" s="55">
        <f t="shared" si="9"/>
        <v>0.89265353442223949</v>
      </c>
      <c r="K14" s="55">
        <f t="shared" si="9"/>
        <v>0.9032831444399283</v>
      </c>
      <c r="L14" s="55">
        <f t="shared" si="9"/>
        <v>0.91328677057889385</v>
      </c>
      <c r="M14" s="55">
        <f t="shared" si="9"/>
        <v>0.92241142788077202</v>
      </c>
      <c r="N14" s="55">
        <f t="shared" si="9"/>
        <v>0.93062295895440761</v>
      </c>
      <c r="O14" s="55">
        <f t="shared" si="9"/>
        <v>0.93796702813778865</v>
      </c>
    </row>
    <row r="15" spans="1:15" ht="16.149999999999999" x14ac:dyDescent="0.55000000000000004">
      <c r="A15" s="61" t="s">
        <v>35</v>
      </c>
      <c r="B15" s="54">
        <f>NORMSDIST(B13)</f>
        <v>1</v>
      </c>
      <c r="C15" s="55">
        <f>NORMSDIST(C13)</f>
        <v>0.31264523203824585</v>
      </c>
      <c r="D15" s="55"/>
      <c r="E15" s="55"/>
      <c r="F15" s="55"/>
      <c r="G15" s="55">
        <f t="shared" si="9"/>
        <v>0.65622145090714867</v>
      </c>
      <c r="H15" s="55">
        <f t="shared" si="9"/>
        <v>0.50807422567390659</v>
      </c>
      <c r="I15" s="55">
        <f t="shared" si="9"/>
        <v>0.42107589395003436</v>
      </c>
      <c r="J15" s="55">
        <f t="shared" si="9"/>
        <v>0.35970928656725842</v>
      </c>
      <c r="K15" s="55">
        <f t="shared" si="9"/>
        <v>0.31264523203824585</v>
      </c>
      <c r="L15" s="55">
        <f t="shared" si="9"/>
        <v>0.27481464703070946</v>
      </c>
      <c r="M15" s="55">
        <f t="shared" si="9"/>
        <v>0.24348985131863715</v>
      </c>
      <c r="N15" s="55">
        <f t="shared" si="9"/>
        <v>0.21702060453019806</v>
      </c>
      <c r="O15" s="55">
        <f t="shared" si="9"/>
        <v>0.1943242602552708</v>
      </c>
    </row>
    <row r="16" spans="1:15" x14ac:dyDescent="0.4">
      <c r="A16" s="39" t="s">
        <v>27</v>
      </c>
      <c r="B16" s="56">
        <f>B5*B14-B6*EXP(-B8*B10)*B15</f>
        <v>43.000010322744707</v>
      </c>
      <c r="C16" s="56">
        <f>C5*C14-C6*EXP(-C8*C10)*C15</f>
        <v>69.733070322800344</v>
      </c>
      <c r="D16" s="56"/>
      <c r="E16" s="56"/>
      <c r="F16" s="56">
        <f>F3-F6</f>
        <v>43</v>
      </c>
      <c r="G16" s="56">
        <f>G5*G14-G6*EXP(-G8*G10)*G15</f>
        <v>50.183547455453592</v>
      </c>
      <c r="H16" s="56">
        <f t="shared" ref="H16:O16" si="10">H5*H14-H6*EXP(-H8*H10)*H15</f>
        <v>56.979739849210347</v>
      </c>
      <c r="I16" s="56">
        <f t="shared" si="10"/>
        <v>62.181943573032584</v>
      </c>
      <c r="J16" s="56">
        <f t="shared" si="10"/>
        <v>66.331671961715728</v>
      </c>
      <c r="K16" s="56">
        <f t="shared" si="10"/>
        <v>69.733070322800344</v>
      </c>
      <c r="L16" s="56">
        <f t="shared" si="10"/>
        <v>72.571639502151285</v>
      </c>
      <c r="M16" s="56">
        <f t="shared" si="10"/>
        <v>74.970433122801595</v>
      </c>
      <c r="N16" s="56">
        <f t="shared" si="10"/>
        <v>77.016251723003549</v>
      </c>
      <c r="O16" s="56">
        <f t="shared" si="10"/>
        <v>78.773139395371714</v>
      </c>
    </row>
    <row r="17" spans="1:15" ht="13.9" x14ac:dyDescent="0.4">
      <c r="A17" s="39" t="s">
        <v>28</v>
      </c>
      <c r="B17" s="41">
        <v>5</v>
      </c>
      <c r="C17" s="41">
        <v>5</v>
      </c>
      <c r="F17" s="41">
        <f>G17</f>
        <v>1</v>
      </c>
      <c r="G17" s="40">
        <v>1</v>
      </c>
      <c r="H17" s="41">
        <f>G17</f>
        <v>1</v>
      </c>
      <c r="I17" s="41">
        <f t="shared" ref="I17:O17" si="11">H17</f>
        <v>1</v>
      </c>
      <c r="J17" s="41">
        <f t="shared" si="11"/>
        <v>1</v>
      </c>
      <c r="K17" s="41">
        <f t="shared" si="11"/>
        <v>1</v>
      </c>
      <c r="L17" s="41">
        <f t="shared" si="11"/>
        <v>1</v>
      </c>
      <c r="M17" s="41">
        <f t="shared" si="11"/>
        <v>1</v>
      </c>
      <c r="N17" s="41">
        <f t="shared" si="11"/>
        <v>1</v>
      </c>
      <c r="O17" s="41">
        <f t="shared" si="11"/>
        <v>1</v>
      </c>
    </row>
    <row r="18" spans="1:15" x14ac:dyDescent="0.4">
      <c r="A18" s="39" t="s">
        <v>36</v>
      </c>
      <c r="B18" s="56">
        <f>B16*B17</f>
        <v>215.00005161372354</v>
      </c>
      <c r="C18" s="56">
        <f>C16*C17</f>
        <v>348.66535161400174</v>
      </c>
      <c r="F18" s="57">
        <f>F16*F17</f>
        <v>43</v>
      </c>
      <c r="G18" s="57">
        <f>G16*G17</f>
        <v>50.183547455453592</v>
      </c>
      <c r="H18" s="57">
        <f t="shared" ref="H18:O18" si="12">H16*H17</f>
        <v>56.979739849210347</v>
      </c>
      <c r="I18" s="57">
        <f t="shared" si="12"/>
        <v>62.181943573032584</v>
      </c>
      <c r="J18" s="57">
        <f t="shared" si="12"/>
        <v>66.331671961715728</v>
      </c>
      <c r="K18" s="57">
        <f t="shared" si="12"/>
        <v>69.733070322800344</v>
      </c>
      <c r="L18" s="57">
        <f t="shared" si="12"/>
        <v>72.571639502151285</v>
      </c>
      <c r="M18" s="57">
        <f t="shared" si="12"/>
        <v>74.970433122801595</v>
      </c>
      <c r="N18" s="57">
        <f t="shared" si="12"/>
        <v>77.016251723003549</v>
      </c>
      <c r="O18" s="57">
        <f t="shared" si="12"/>
        <v>78.773139395371714</v>
      </c>
    </row>
    <row r="19" spans="1:15" ht="13.9" x14ac:dyDescent="0.4">
      <c r="A19" s="58" t="s">
        <v>29</v>
      </c>
      <c r="B19" s="59"/>
      <c r="C19" s="60">
        <f>C18+B18</f>
        <v>563.66540322772528</v>
      </c>
      <c r="D19" s="59"/>
      <c r="E19" s="59"/>
      <c r="F19" s="59"/>
      <c r="G19" s="60">
        <f>SUM(F18:O18)</f>
        <v>651.7414369055407</v>
      </c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abSelected="1" workbookViewId="0">
      <selection activeCell="C25" sqref="C25"/>
    </sheetView>
  </sheetViews>
  <sheetFormatPr baseColWidth="10" defaultColWidth="11.3984375" defaultRowHeight="14.25" x14ac:dyDescent="0.4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Intro equity value</vt:lpstr>
      <vt:lpstr>Merton</vt:lpstr>
      <vt:lpstr>Growth</vt:lpstr>
      <vt:lpstr>Patent</vt:lpstr>
      <vt:lpstr>Concession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levyn</cp:lastModifiedBy>
  <dcterms:created xsi:type="dcterms:W3CDTF">2012-10-27T10:01:08Z</dcterms:created>
  <dcterms:modified xsi:type="dcterms:W3CDTF">2020-03-01T15:36:09Z</dcterms:modified>
</cp:coreProperties>
</file>